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nelsoncity.sharepoint.com/sites/ecm-citydev/Shared Documents/Strategy and Policies/Development Contributions (DC's)/Development Contributions - 2024 policy review/"/>
    </mc:Choice>
  </mc:AlternateContent>
  <xr:revisionPtr revIDLastSave="0" documentId="8_{1E4CDC37-3777-431C-B5B7-9768A32FBD50}" xr6:coauthVersionLast="47" xr6:coauthVersionMax="47" xr10:uidLastSave="{00000000-0000-0000-0000-000000000000}"/>
  <bookViews>
    <workbookView xWindow="-120" yWindow="-120" windowWidth="29040" windowHeight="15840" tabRatio="692" xr2:uid="{3891E727-CAB3-4F69-A6F5-903869406624}"/>
  </bookViews>
  <sheets>
    <sheet name="Start here" sheetId="10" r:id="rId1"/>
    <sheet name="1.Residential-subdivision" sheetId="1" r:id="rId2"/>
    <sheet name="2.Residential-no subdivision" sheetId="4" r:id="rId3"/>
    <sheet name="3.Non-residential-subdivision" sheetId="8" r:id="rId4"/>
    <sheet name="4.Non-residential-no subdivisio" sheetId="7" r:id="rId5"/>
    <sheet name="5.Mixed Use" sheetId="9" r:id="rId6"/>
    <sheet name="6.Tables"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7" l="1"/>
  <c r="C7" i="7"/>
  <c r="G21" i="1"/>
  <c r="H29" i="1" l="1"/>
  <c r="G28" i="1"/>
  <c r="H27" i="1"/>
  <c r="G27" i="1"/>
  <c r="G22" i="1"/>
  <c r="H22" i="1"/>
  <c r="G23" i="1"/>
  <c r="H23" i="1"/>
  <c r="G24" i="1"/>
  <c r="H24" i="1"/>
  <c r="G25" i="1"/>
  <c r="H25" i="1"/>
  <c r="H21" i="1"/>
  <c r="G44" i="7"/>
  <c r="H43" i="7"/>
  <c r="H25" i="8"/>
  <c r="G26" i="8"/>
  <c r="H34" i="4"/>
  <c r="G35" i="4"/>
  <c r="H37" i="7" l="1"/>
  <c r="H19" i="8"/>
  <c r="H40" i="7"/>
  <c r="G42" i="7"/>
  <c r="G31" i="4"/>
  <c r="H24" i="8"/>
  <c r="H39" i="7"/>
  <c r="G43" i="7"/>
  <c r="H18" i="8"/>
  <c r="H44" i="7"/>
  <c r="H20" i="8"/>
  <c r="G29" i="4"/>
  <c r="G26" i="1"/>
  <c r="G38" i="7"/>
  <c r="G20" i="8"/>
  <c r="H29" i="4"/>
  <c r="H28" i="4"/>
  <c r="H35" i="4"/>
  <c r="H33" i="4"/>
  <c r="H42" i="7"/>
  <c r="G40" i="7"/>
  <c r="H22" i="8"/>
  <c r="G22" i="8"/>
  <c r="H26" i="1"/>
  <c r="H24" i="9"/>
  <c r="G24" i="9"/>
  <c r="F24" i="9"/>
  <c r="E24" i="9"/>
  <c r="H17" i="9"/>
  <c r="H20" i="9"/>
  <c r="H21" i="9"/>
  <c r="G20" i="9"/>
  <c r="G21" i="9"/>
  <c r="C21" i="7"/>
  <c r="G45" i="7" l="1"/>
  <c r="H36" i="7"/>
  <c r="H26" i="8"/>
  <c r="H27" i="8" s="1"/>
  <c r="H27" i="4"/>
  <c r="G24" i="8"/>
  <c r="H30" i="4"/>
  <c r="G33" i="4"/>
  <c r="H21" i="8"/>
  <c r="H23" i="8" s="1"/>
  <c r="G27" i="4"/>
  <c r="G36" i="7"/>
  <c r="G18" i="8"/>
  <c r="H45" i="7"/>
  <c r="G30" i="1"/>
  <c r="G31" i="1" s="1"/>
  <c r="G21" i="8"/>
  <c r="G30" i="4"/>
  <c r="G39" i="7"/>
  <c r="H30" i="1"/>
  <c r="H31" i="1" s="1"/>
  <c r="H31" i="4"/>
  <c r="G34" i="4"/>
  <c r="H38" i="7"/>
  <c r="G19" i="8"/>
  <c r="G37" i="7"/>
  <c r="G28" i="4"/>
  <c r="G25" i="8"/>
  <c r="H36" i="4"/>
  <c r="B6" i="4"/>
  <c r="C8" i="7"/>
  <c r="C6" i="7"/>
  <c r="C5" i="7"/>
  <c r="C4" i="7"/>
  <c r="C11" i="7"/>
  <c r="C18" i="7" s="1"/>
  <c r="B38" i="7" s="1"/>
  <c r="H15" i="9" s="1"/>
  <c r="C15" i="8"/>
  <c r="B5" i="8"/>
  <c r="B20" i="8" s="1"/>
  <c r="G15" i="9" s="1"/>
  <c r="C33" i="7"/>
  <c r="C15" i="7"/>
  <c r="C22" i="7" s="1"/>
  <c r="B42" i="7" s="1"/>
  <c r="H19" i="9" s="1"/>
  <c r="C13" i="7"/>
  <c r="C20" i="7" s="1"/>
  <c r="C12" i="7"/>
  <c r="B10" i="4"/>
  <c r="C24" i="4"/>
  <c r="C18" i="1"/>
  <c r="B22" i="1"/>
  <c r="E14" i="9" s="1"/>
  <c r="B5" i="1"/>
  <c r="B23" i="1" l="1"/>
  <c r="E15" i="9" s="1"/>
  <c r="B21" i="1"/>
  <c r="C21" i="1" s="1"/>
  <c r="B25" i="1"/>
  <c r="E17" i="9" s="1"/>
  <c r="B24" i="1"/>
  <c r="E16" i="9" s="1"/>
  <c r="B27" i="1"/>
  <c r="E19" i="9" s="1"/>
  <c r="B28" i="1"/>
  <c r="E20" i="9" s="1"/>
  <c r="G27" i="8"/>
  <c r="B29" i="1"/>
  <c r="E21" i="9" s="1"/>
  <c r="H28" i="8"/>
  <c r="H32" i="4"/>
  <c r="H37" i="4" s="1"/>
  <c r="H41" i="7"/>
  <c r="H46" i="7" s="1"/>
  <c r="G36" i="4"/>
  <c r="G23" i="8"/>
  <c r="B36" i="7"/>
  <c r="H13" i="9" s="1"/>
  <c r="G41" i="7"/>
  <c r="G46" i="7" s="1"/>
  <c r="G32" i="4"/>
  <c r="B21" i="8"/>
  <c r="G16" i="9" s="1"/>
  <c r="B22" i="8"/>
  <c r="B24" i="8"/>
  <c r="B18" i="8"/>
  <c r="G13" i="9" s="1"/>
  <c r="B19" i="8"/>
  <c r="C19" i="7"/>
  <c r="B39" i="7"/>
  <c r="H16" i="9" s="1"/>
  <c r="C20" i="8"/>
  <c r="C25" i="8"/>
  <c r="C26" i="8"/>
  <c r="B11" i="4"/>
  <c r="B35" i="4" s="1"/>
  <c r="B30" i="4"/>
  <c r="C22" i="1"/>
  <c r="C28" i="1" l="1"/>
  <c r="C23" i="1"/>
  <c r="C25" i="1"/>
  <c r="C24" i="1"/>
  <c r="E13" i="9"/>
  <c r="C29" i="1"/>
  <c r="G28" i="8"/>
  <c r="G37" i="4"/>
  <c r="C24" i="8"/>
  <c r="G19" i="9"/>
  <c r="C22" i="8"/>
  <c r="G17" i="9"/>
  <c r="C19" i="8"/>
  <c r="G14" i="9"/>
  <c r="C21" i="8"/>
  <c r="C30" i="4"/>
  <c r="F16" i="9"/>
  <c r="B16" i="9" s="1"/>
  <c r="C16" i="9" s="1"/>
  <c r="C35" i="4"/>
  <c r="F21" i="9"/>
  <c r="B21" i="9" s="1"/>
  <c r="C21" i="9" s="1"/>
  <c r="B34" i="4"/>
  <c r="B37" i="7"/>
  <c r="C44" i="7"/>
  <c r="C43" i="7"/>
  <c r="C38" i="7"/>
  <c r="C40" i="7"/>
  <c r="C39" i="7"/>
  <c r="B23" i="8"/>
  <c r="C18" i="8"/>
  <c r="B27" i="8"/>
  <c r="G22" i="9" s="1"/>
  <c r="C36" i="7"/>
  <c r="B31" i="4"/>
  <c r="B28" i="4"/>
  <c r="B27" i="4"/>
  <c r="F13" i="9" s="1"/>
  <c r="B13" i="9" s="1"/>
  <c r="B33" i="4"/>
  <c r="F19" i="9" s="1"/>
  <c r="B19" i="9" s="1"/>
  <c r="B29" i="4"/>
  <c r="B30" i="1"/>
  <c r="E22" i="9" s="1"/>
  <c r="C27" i="1"/>
  <c r="B26" i="1"/>
  <c r="B31" i="1" l="1"/>
  <c r="C37" i="7"/>
  <c r="H14" i="9"/>
  <c r="C23" i="8"/>
  <c r="G18" i="9"/>
  <c r="C26" i="1"/>
  <c r="E18" i="9"/>
  <c r="C31" i="4"/>
  <c r="F17" i="9"/>
  <c r="B17" i="9" s="1"/>
  <c r="C17" i="9" s="1"/>
  <c r="C19" i="9"/>
  <c r="C27" i="4"/>
  <c r="C29" i="4"/>
  <c r="F15" i="9"/>
  <c r="B15" i="9" s="1"/>
  <c r="C15" i="9" s="1"/>
  <c r="C33" i="4"/>
  <c r="C34" i="4"/>
  <c r="F20" i="9"/>
  <c r="B20" i="9" s="1"/>
  <c r="C20" i="9" s="1"/>
  <c r="C13" i="9"/>
  <c r="C28" i="4"/>
  <c r="F14" i="9"/>
  <c r="B36" i="4"/>
  <c r="B45" i="7"/>
  <c r="C42" i="7"/>
  <c r="B41" i="7"/>
  <c r="C27" i="8"/>
  <c r="B28" i="8"/>
  <c r="B32" i="4"/>
  <c r="C30" i="1"/>
  <c r="B14" i="9" l="1"/>
  <c r="C14" i="9" s="1"/>
  <c r="C18" i="9" s="1"/>
  <c r="C41" i="7"/>
  <c r="H18" i="9"/>
  <c r="C45" i="7"/>
  <c r="H22" i="9"/>
  <c r="C28" i="8"/>
  <c r="G23" i="9"/>
  <c r="C31" i="1"/>
  <c r="E23" i="9"/>
  <c r="C36" i="4"/>
  <c r="F22" i="9"/>
  <c r="C32" i="4"/>
  <c r="F18" i="9"/>
  <c r="B22" i="9"/>
  <c r="C22" i="9"/>
  <c r="B46" i="7"/>
  <c r="B37" i="4"/>
  <c r="B18" i="9" l="1"/>
  <c r="B23" i="9" s="1"/>
  <c r="C46" i="7"/>
  <c r="H23" i="9"/>
  <c r="C23" i="9"/>
  <c r="C37" i="4"/>
  <c r="F23" i="9"/>
</calcChain>
</file>

<file path=xl/sharedStrings.xml><?xml version="1.0" encoding="utf-8"?>
<sst xmlns="http://schemas.openxmlformats.org/spreadsheetml/2006/main" count="286" uniqueCount="111">
  <si>
    <t>Nelson City Council Policy on Development Contibutions 2024 - DC Estimation tool</t>
  </si>
  <si>
    <t>Updated 01/07/2024</t>
  </si>
  <si>
    <t>Instructions - Single activity type</t>
  </si>
  <si>
    <t xml:space="preserve">If you are only developing a single activity (residential or non-residential) then choose one of the first four tabs below that suit your situation. </t>
  </si>
  <si>
    <t>Enter details of the development in each of the blue cells.</t>
  </si>
  <si>
    <t>The estimate of the DC you will pay will then calculate .</t>
  </si>
  <si>
    <t>Instructions - Multiple activities</t>
  </si>
  <si>
    <t>If you are developing a site with multiple activities (residential and non-residential) then then you will need to enter details into each of the first four tabs that are relevant to your development.</t>
  </si>
  <si>
    <t>Go to the fifth "mixed use" tab and in the drop down boxes select the types that apply.</t>
  </si>
  <si>
    <t>The estimate of the DC you will pay will then calculate at the bottom of the "mixed use" tab.</t>
  </si>
  <si>
    <t>Choose the year that the DC policy applies</t>
  </si>
  <si>
    <t>2024/25</t>
  </si>
  <si>
    <t>Residential-subdivision</t>
  </si>
  <si>
    <t>HUDs calculation</t>
  </si>
  <si>
    <t>Number of existing lots</t>
  </si>
  <si>
    <t>Total number of lots/unit titles proposed</t>
  </si>
  <si>
    <t>Total additional HUDs</t>
  </si>
  <si>
    <t>Is the site inside the built urban boundary?</t>
  </si>
  <si>
    <t>no</t>
  </si>
  <si>
    <t>www.nelson.govt.nz/built-urban-area</t>
  </si>
  <si>
    <t>Does the development qualify for any of the following exemptions?</t>
  </si>
  <si>
    <t>Is it a social housing development as defined in 7.1?</t>
  </si>
  <si>
    <t>Is it a development being undertaken by the crown as defined in 7.2?</t>
  </si>
  <si>
    <t>Is the development at Whakatu Marae as defined in 7.3?</t>
  </si>
  <si>
    <t>Is the development being undertaken by a State Integrated School as defined in 7.4?</t>
  </si>
  <si>
    <t>Is the development in the city centre as defined in 7.5?</t>
  </si>
  <si>
    <t>Is the development proposing low impact stormwater as defined in 7.6?</t>
  </si>
  <si>
    <t>yes</t>
  </si>
  <si>
    <t>Discount</t>
  </si>
  <si>
    <t>Is the development able to connect to the Nelson water supply as defined in 7.7?</t>
  </si>
  <si>
    <t>Is the development able to connect to the wastewater system as defined in 7.7?</t>
  </si>
  <si>
    <t>Is the development to be supplied with water by Tasman District Council as defined in 7.8?</t>
  </si>
  <si>
    <t>Activity</t>
  </si>
  <si>
    <t>Development Contribution (excluding GST)</t>
  </si>
  <si>
    <t>Development Contribution (including GST)</t>
  </si>
  <si>
    <t>Greenfield $ per HUD (excl. GST)</t>
  </si>
  <si>
    <t>Brownfield $ per HUD (excl. GST)</t>
  </si>
  <si>
    <t>Stormwater</t>
  </si>
  <si>
    <t>Wastewater</t>
  </si>
  <si>
    <t>Water supply</t>
  </si>
  <si>
    <t>Transportation</t>
  </si>
  <si>
    <t>Community infrastructure</t>
  </si>
  <si>
    <t>Infrastructure Development Contribution Totals</t>
  </si>
  <si>
    <t>General reserves</t>
  </si>
  <si>
    <t>Neighbourhood Reserves (Greenfield) – Sites outside the urban boundary</t>
  </si>
  <si>
    <t>Neighbourhood Reserves (Intensification) – Sites inside the urban boundary</t>
  </si>
  <si>
    <t>Reserves Development Contribution Totals</t>
  </si>
  <si>
    <t>Total Development Contribution</t>
  </si>
  <si>
    <t>Residential-no subdivision</t>
  </si>
  <si>
    <t>Multiplier (Table A)</t>
  </si>
  <si>
    <t>Number of existing 1 bedroom dwellings</t>
  </si>
  <si>
    <t>Number of existing 2 bedroom dwellings</t>
  </si>
  <si>
    <t>Number of existing 3 bedroom dwellings</t>
  </si>
  <si>
    <t>Total existing HUDs</t>
  </si>
  <si>
    <t>Number of new 1 bedroom dwellings</t>
  </si>
  <si>
    <t>Number of new 2 bedroom dwellings</t>
  </si>
  <si>
    <t>Number of new 3 bedroom dwellings</t>
  </si>
  <si>
    <t>Total proposed HUDs</t>
  </si>
  <si>
    <t>Non-residential-subdivision</t>
  </si>
  <si>
    <t>Non-residential no subdivision</t>
  </si>
  <si>
    <t>Existing</t>
  </si>
  <si>
    <t>Value</t>
  </si>
  <si>
    <t>HUDs</t>
  </si>
  <si>
    <t>Water (Internal diameter of water connection (mm))</t>
  </si>
  <si>
    <t>Wastewater (number of urinals)</t>
  </si>
  <si>
    <t>Stormwater (total impervious surface area - roof and paved areas)</t>
  </si>
  <si>
    <t>Transport (Please enter area of each activity in the table below)</t>
  </si>
  <si>
    <t>General reserves (number of accommodation units)</t>
  </si>
  <si>
    <t>Proposed</t>
  </si>
  <si>
    <t>Change</t>
  </si>
  <si>
    <t>Transport</t>
  </si>
  <si>
    <t>Water HUD conversion</t>
  </si>
  <si>
    <t>Internal diameter of water connection (mm)</t>
  </si>
  <si>
    <t>Transport HUD conversion</t>
  </si>
  <si>
    <t>Activity code</t>
  </si>
  <si>
    <t>HUDs/100sqm GDA</t>
  </si>
  <si>
    <t>Existing area (sqm)</t>
  </si>
  <si>
    <t>New area (sqm)</t>
  </si>
  <si>
    <t>Cool Stores including controlled atmosphere storage</t>
  </si>
  <si>
    <t>Outdoor Storage Yards</t>
  </si>
  <si>
    <t>Storage ancillary to the principal activity</t>
  </si>
  <si>
    <t>Warehouses including storage as the principal activity</t>
  </si>
  <si>
    <t>Service Stations</t>
  </si>
  <si>
    <t>Home Occupations</t>
  </si>
  <si>
    <t>Hospitals, and Homes for the Aged</t>
  </si>
  <si>
    <t>Port Operational Area</t>
  </si>
  <si>
    <t>Industrial Activity</t>
  </si>
  <si>
    <t>Schedule N area in NRMP</t>
  </si>
  <si>
    <t>Education Facilities (Pre-school and Primary)</t>
  </si>
  <si>
    <t>Health Facilities (excluding hospitals), and Veterinary Clinics</t>
  </si>
  <si>
    <t>Offices</t>
  </si>
  <si>
    <t>Education Facilities (Secondary)</t>
  </si>
  <si>
    <t>Large Format Retail / Bulk Retail (other than within Schedule N – Quarantine Road)</t>
  </si>
  <si>
    <t>Restaurants, Cafes and Taverns</t>
  </si>
  <si>
    <t>Retail Activities, and Retail Services (other than supermarkets and large format retail / bulk retail) (for illustrative purposes, retail services include personal or household services such as hairdressers, dry cleaners, servicing or repair of appliances or equipment. Retail activity includes things such as vehicle sales).</t>
  </si>
  <si>
    <t>Vehicle Parking Facilities also see AP10.2</t>
  </si>
  <si>
    <t>Commercial Garages and service stations</t>
  </si>
  <si>
    <t>Tertiary Education Facilities</t>
  </si>
  <si>
    <t>Places of Entertainment, Buildings For Private for Public Assembly, Buildings For Community Use, Clubs and Places of Worship (includes funeral chapels, and Crematoriums.)</t>
  </si>
  <si>
    <t>Short Term Living Accommodation</t>
  </si>
  <si>
    <t>Supermarket</t>
  </si>
  <si>
    <t>Recreation Areas</t>
  </si>
  <si>
    <t>Activities other than listed above (outdoors)</t>
  </si>
  <si>
    <t>Activities other than listed above (indoors)</t>
  </si>
  <si>
    <t>Mixed Use</t>
  </si>
  <si>
    <t>If the proposal is for mixed use (residential and non-residential) please fill out the details on the relevent sheets and choose any combination of residential and non-residential from the list below.</t>
  </si>
  <si>
    <t>Included in development (yes/no)</t>
  </si>
  <si>
    <t>Non-residential-no subdivision</t>
  </si>
  <si>
    <t>2021/22</t>
  </si>
  <si>
    <t>2022/23</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</si>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</sst>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_-;\-&quot;$&quot;* #,##0_-;_-&quot;$&quot;* &quot;-&quot;??_-;_-@_-"/>
  </numFmts>
  <fonts count="13">
    <font>
      <sz val="11"/>
      <color theme="1"/>
      <name val="Calibri"/>
      <family val="2"/>
      <scheme val="minor"/>
    </font>
    <font>
      <sz val="11"/>
      <color theme="1"/>
      <name val="Calibri"/>
      <family val="2"/>
      <scheme val="minor"/>
    </font>
    <font>
      <b/>
      <sz val="11"/>
      <color theme="1"/>
      <name val="Calibri"/>
      <family val="2"/>
      <scheme val="minor"/>
    </font>
    <font>
      <sz val="10"/>
      <color theme="1"/>
      <name val="Verdana"/>
      <family val="2"/>
    </font>
    <font>
      <b/>
      <sz val="10"/>
      <color rgb="FF000000"/>
      <name val="Verdana"/>
      <family val="2"/>
    </font>
    <font>
      <b/>
      <sz val="10"/>
      <name val="Verdana"/>
      <family val="2"/>
    </font>
    <font>
      <u/>
      <sz val="11"/>
      <color theme="10"/>
      <name val="Calibri"/>
      <family val="2"/>
      <scheme val="minor"/>
    </font>
    <font>
      <b/>
      <sz val="16"/>
      <color theme="1"/>
      <name val="Calibri"/>
      <family val="2"/>
      <scheme val="minor"/>
    </font>
    <font>
      <b/>
      <sz val="9"/>
      <name val="Verdana"/>
      <family val="2"/>
    </font>
    <font>
      <sz val="9"/>
      <name val="Verdana"/>
      <family val="2"/>
    </font>
    <font>
      <sz val="10"/>
      <name val="Verdana"/>
      <family val="2"/>
    </font>
    <font>
      <b/>
      <sz val="14"/>
      <color theme="1"/>
      <name val="Calibri"/>
      <family val="2"/>
      <scheme val="minor"/>
    </font>
    <font>
      <sz val="36"/>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1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6" fontId="4" fillId="0" borderId="0" xfId="0" applyNumberFormat="1" applyFont="1" applyAlignment="1">
      <alignment horizontal="left" vertical="center" wrapText="1" indent="5"/>
    </xf>
    <xf numFmtId="0" fontId="3" fillId="0" borderId="0" xfId="0" applyFont="1" applyAlignment="1">
      <alignment horizontal="right" vertical="center" wrapText="1"/>
    </xf>
    <xf numFmtId="0" fontId="5" fillId="0" borderId="0" xfId="0" applyFont="1" applyAlignment="1">
      <alignment vertical="center" wrapText="1"/>
    </xf>
    <xf numFmtId="0" fontId="3" fillId="0" borderId="0" xfId="0" applyFont="1" applyAlignment="1">
      <alignment vertical="center" wrapText="1"/>
    </xf>
    <xf numFmtId="44" fontId="0" fillId="0" borderId="0" xfId="1" applyFont="1"/>
    <xf numFmtId="44" fontId="0" fillId="0" borderId="0" xfId="0" applyNumberFormat="1"/>
    <xf numFmtId="0" fontId="2" fillId="0" borderId="0" xfId="0" applyFont="1" applyAlignment="1">
      <alignment wrapText="1"/>
    </xf>
    <xf numFmtId="0" fontId="6" fillId="0" borderId="0" xfId="2"/>
    <xf numFmtId="0" fontId="7" fillId="0" borderId="0" xfId="0" applyFont="1"/>
    <xf numFmtId="0" fontId="2" fillId="0" borderId="0" xfId="0" applyFont="1"/>
    <xf numFmtId="0" fontId="4" fillId="0" borderId="1" xfId="0" applyFont="1" applyBorder="1" applyAlignment="1">
      <alignment vertical="center" wrapText="1"/>
    </xf>
    <xf numFmtId="44" fontId="0" fillId="0" borderId="1" xfId="1" applyFont="1" applyBorder="1"/>
    <xf numFmtId="44" fontId="0" fillId="0" borderId="1" xfId="0" applyNumberFormat="1" applyBorder="1"/>
    <xf numFmtId="0" fontId="4" fillId="0" borderId="2" xfId="0" applyFont="1" applyBorder="1" applyAlignment="1">
      <alignment vertical="center" wrapText="1"/>
    </xf>
    <xf numFmtId="44" fontId="0" fillId="0" borderId="2" xfId="1" applyFont="1" applyBorder="1"/>
    <xf numFmtId="44" fontId="0" fillId="0" borderId="2" xfId="0" applyNumberFormat="1" applyBorder="1"/>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1" fillId="0" borderId="0" xfId="0" applyFont="1"/>
    <xf numFmtId="2" fontId="0" fillId="0" borderId="0" xfId="0" applyNumberFormat="1"/>
    <xf numFmtId="1" fontId="0" fillId="0" borderId="0" xfId="0" applyNumberFormat="1" applyAlignment="1">
      <alignment horizontal="center"/>
    </xf>
    <xf numFmtId="0" fontId="0" fillId="2" borderId="5" xfId="0" applyFill="1" applyBorder="1"/>
    <xf numFmtId="9" fontId="0" fillId="2" borderId="5" xfId="0" applyNumberFormat="1" applyFill="1" applyBorder="1"/>
    <xf numFmtId="0" fontId="2" fillId="0" borderId="1" xfId="0" applyFont="1" applyBorder="1"/>
    <xf numFmtId="44" fontId="2" fillId="0" borderId="1" xfId="0" applyNumberFormat="1" applyFont="1" applyBorder="1"/>
    <xf numFmtId="0" fontId="2" fillId="0" borderId="2" xfId="0" applyFont="1" applyBorder="1"/>
    <xf numFmtId="44" fontId="2" fillId="0" borderId="2" xfId="0" applyNumberFormat="1" applyFont="1" applyBorder="1"/>
    <xf numFmtId="6" fontId="4" fillId="0" borderId="0" xfId="0" applyNumberFormat="1" applyFont="1" applyAlignment="1">
      <alignment horizontal="right" vertical="center" wrapText="1"/>
    </xf>
    <xf numFmtId="6" fontId="3" fillId="0" borderId="0" xfId="0" applyNumberFormat="1" applyFont="1" applyAlignment="1">
      <alignment vertical="center" wrapText="1"/>
    </xf>
    <xf numFmtId="6" fontId="4" fillId="0" borderId="0" xfId="0" applyNumberFormat="1" applyFont="1" applyAlignment="1">
      <alignment vertical="center" wrapText="1"/>
    </xf>
    <xf numFmtId="0" fontId="2" fillId="0" borderId="0" xfId="0" applyFont="1" applyAlignment="1">
      <alignment horizontal="left" vertical="top" wrapText="1"/>
    </xf>
    <xf numFmtId="3" fontId="0" fillId="0" borderId="0" xfId="0" applyNumberFormat="1"/>
    <xf numFmtId="164" fontId="0" fillId="0" borderId="0" xfId="1" applyNumberFormat="1" applyFont="1"/>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0" xfId="0" applyFont="1" applyFill="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1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elson.govt.nz/built-urban-are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nelson.govt.nz/built-urban-are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E776-93A5-4F36-B237-F548A0C1B627}">
  <sheetPr>
    <tabColor theme="5" tint="0.39997558519241921"/>
  </sheetPr>
  <dimension ref="A1:C19"/>
  <sheetViews>
    <sheetView tabSelected="1" workbookViewId="0">
      <selection activeCell="A16" sqref="A16:C19"/>
    </sheetView>
  </sheetViews>
  <sheetFormatPr defaultRowHeight="15"/>
  <cols>
    <col min="1" max="1" width="9.140625" customWidth="1"/>
  </cols>
  <sheetData>
    <row r="1" spans="1:3" ht="21">
      <c r="A1" s="9" t="s">
        <v>0</v>
      </c>
    </row>
    <row r="2" spans="1:3" ht="21">
      <c r="A2" s="9" t="s">
        <v>1</v>
      </c>
    </row>
    <row r="4" spans="1:3" ht="21">
      <c r="A4" s="9" t="s">
        <v>2</v>
      </c>
    </row>
    <row r="5" spans="1:3">
      <c r="A5">
        <v>1</v>
      </c>
      <c r="B5" t="s">
        <v>3</v>
      </c>
    </row>
    <row r="6" spans="1:3">
      <c r="A6">
        <v>2</v>
      </c>
      <c r="B6" t="s">
        <v>4</v>
      </c>
    </row>
    <row r="7" spans="1:3">
      <c r="A7">
        <v>3</v>
      </c>
      <c r="B7" t="s">
        <v>5</v>
      </c>
    </row>
    <row r="9" spans="1:3" ht="21">
      <c r="A9" s="9" t="s">
        <v>6</v>
      </c>
    </row>
    <row r="10" spans="1:3">
      <c r="A10">
        <v>1</v>
      </c>
      <c r="B10" t="s">
        <v>7</v>
      </c>
    </row>
    <row r="11" spans="1:3">
      <c r="A11">
        <v>2</v>
      </c>
      <c r="B11" t="s">
        <v>4</v>
      </c>
    </row>
    <row r="12" spans="1:3">
      <c r="A12">
        <v>3</v>
      </c>
      <c r="B12" t="s">
        <v>8</v>
      </c>
    </row>
    <row r="13" spans="1:3">
      <c r="A13">
        <v>4</v>
      </c>
      <c r="B13" t="s">
        <v>9</v>
      </c>
    </row>
    <row r="15" spans="1:3" ht="21">
      <c r="A15" s="9" t="s">
        <v>10</v>
      </c>
    </row>
    <row r="16" spans="1:3" ht="15" customHeight="1">
      <c r="A16" s="35" t="s">
        <v>11</v>
      </c>
      <c r="B16" s="36"/>
      <c r="C16" s="37"/>
    </row>
    <row r="17" spans="1:3" ht="15" customHeight="1">
      <c r="A17" s="38"/>
      <c r="B17" s="39"/>
      <c r="C17" s="40"/>
    </row>
    <row r="18" spans="1:3" ht="15" customHeight="1">
      <c r="A18" s="38"/>
      <c r="B18" s="39"/>
      <c r="C18" s="40"/>
    </row>
    <row r="19" spans="1:3" ht="15" customHeight="1">
      <c r="A19" s="41"/>
      <c r="B19" s="42"/>
      <c r="C19" s="43"/>
    </row>
  </sheetData>
  <mergeCells count="1">
    <mergeCell ref="A16:C1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B24C571-3542-4C58-9330-8F665D35485D}">
          <x14:formula1>
            <xm:f>'6.Tables'!$B$1:$E$1</xm:f>
          </x14:formula1>
          <xm:sqref>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1334-FA76-486C-9BEE-BD453962E572}">
  <dimension ref="A1:L32"/>
  <sheetViews>
    <sheetView workbookViewId="0">
      <selection activeCell="B3" sqref="B3"/>
    </sheetView>
  </sheetViews>
  <sheetFormatPr defaultRowHeight="15"/>
  <cols>
    <col min="1" max="1" width="82.85546875" customWidth="1"/>
    <col min="2" max="2" width="16.5703125" bestFit="1" customWidth="1"/>
    <col min="3" max="3" width="18.28515625" bestFit="1" customWidth="1"/>
    <col min="6" max="6" width="14.7109375" bestFit="1" customWidth="1"/>
    <col min="7" max="7" width="16.5703125" bestFit="1" customWidth="1"/>
    <col min="8" max="8" width="16.140625" customWidth="1"/>
  </cols>
  <sheetData>
    <row r="1" spans="1:4" ht="21">
      <c r="A1" s="9" t="s">
        <v>12</v>
      </c>
    </row>
    <row r="2" spans="1:4">
      <c r="B2" s="10" t="s">
        <v>13</v>
      </c>
    </row>
    <row r="3" spans="1:4">
      <c r="A3" t="s">
        <v>14</v>
      </c>
      <c r="B3" s="23">
        <v>1</v>
      </c>
    </row>
    <row r="4" spans="1:4">
      <c r="A4" t="s">
        <v>15</v>
      </c>
      <c r="B4" s="23">
        <v>2</v>
      </c>
    </row>
    <row r="5" spans="1:4">
      <c r="A5" s="10" t="s">
        <v>16</v>
      </c>
      <c r="B5" s="10">
        <f>B4-B3</f>
        <v>1</v>
      </c>
    </row>
    <row r="7" spans="1:4">
      <c r="A7" t="s">
        <v>17</v>
      </c>
      <c r="B7" s="23" t="s">
        <v>18</v>
      </c>
      <c r="C7" s="8" t="s">
        <v>19</v>
      </c>
    </row>
    <row r="9" spans="1:4">
      <c r="A9" s="10" t="s">
        <v>20</v>
      </c>
    </row>
    <row r="10" spans="1:4">
      <c r="A10" t="s">
        <v>21</v>
      </c>
      <c r="B10" s="23" t="s">
        <v>18</v>
      </c>
    </row>
    <row r="11" spans="1:4">
      <c r="A11" t="s">
        <v>22</v>
      </c>
      <c r="B11" s="23" t="s">
        <v>18</v>
      </c>
    </row>
    <row r="12" spans="1:4">
      <c r="A12" t="s">
        <v>23</v>
      </c>
      <c r="B12" s="23" t="s">
        <v>18</v>
      </c>
    </row>
    <row r="13" spans="1:4">
      <c r="A13" t="s">
        <v>24</v>
      </c>
      <c r="B13" s="23" t="s">
        <v>18</v>
      </c>
    </row>
    <row r="14" spans="1:4">
      <c r="A14" t="s">
        <v>25</v>
      </c>
      <c r="B14" s="23" t="s">
        <v>18</v>
      </c>
    </row>
    <row r="15" spans="1:4">
      <c r="A15" t="s">
        <v>26</v>
      </c>
      <c r="B15" s="23" t="s">
        <v>27</v>
      </c>
      <c r="C15" t="s">
        <v>28</v>
      </c>
      <c r="D15" s="24">
        <v>0.5</v>
      </c>
    </row>
    <row r="16" spans="1:4">
      <c r="A16" t="s">
        <v>29</v>
      </c>
      <c r="B16" s="23" t="s">
        <v>27</v>
      </c>
    </row>
    <row r="17" spans="1:12" ht="15.75" thickBot="1">
      <c r="A17" t="s">
        <v>30</v>
      </c>
      <c r="B17" s="23" t="s">
        <v>27</v>
      </c>
    </row>
    <row r="18" spans="1:12" ht="15.75" thickBot="1">
      <c r="A18" t="s">
        <v>31</v>
      </c>
      <c r="B18" s="23" t="s">
        <v>18</v>
      </c>
      <c r="C18" s="44" t="str">
        <f>IF(B18="yes","Look up Tasman District Council water DCs and add to the totals below","")</f>
        <v/>
      </c>
      <c r="D18" s="44"/>
      <c r="E18" s="44"/>
      <c r="F18" s="44"/>
      <c r="G18" s="45"/>
    </row>
    <row r="20" spans="1:12" ht="45">
      <c r="A20" s="3" t="s">
        <v>32</v>
      </c>
      <c r="B20" s="7" t="s">
        <v>33</v>
      </c>
      <c r="C20" s="7" t="s">
        <v>34</v>
      </c>
      <c r="G20" s="3" t="s">
        <v>35</v>
      </c>
      <c r="H20" s="3" t="s">
        <v>36</v>
      </c>
    </row>
    <row r="21" spans="1:12">
      <c r="A21" s="4" t="s">
        <v>37</v>
      </c>
      <c r="B21" s="5">
        <f>IF(B15="no",IF(OR($B$10="yes",$B$11="yes",$B$12="yes",$B$13="yes",$B$14="yes"),0,IF($B$7="yes",$B$5*H21,$B$5*G21)),IF(OR($B$10="yes",$B$11="yes",$B$12="yes",$B$13="yes",$B$14="yes"),0,IF($B$7="yes",$B$5*H21,$B$5*G21))*(1-D15))</f>
        <v>3815</v>
      </c>
      <c r="C21" s="6">
        <f>B21*1.15</f>
        <v>4387.25</v>
      </c>
      <c r="G21" s="34">
        <f>INDEX('6.Tables'!$B$2:$Z$9,MATCH('1.Residential-subdivision'!$A21,'6.Tables'!$A$2:$A$9,0),MATCH('Start here'!$A$16,'6.Tables'!$B$1:$Z$1,0))</f>
        <v>7630</v>
      </c>
      <c r="H21" s="34">
        <f>INDEX('6.Tables'!$B$2:$Z$9,MATCH('1.Residential-subdivision'!$A21,'6.Tables'!$A$2:$A$9,0),MATCH('Start here'!$A$16,'6.Tables'!$B$1:$Z$1,0))</f>
        <v>7630</v>
      </c>
    </row>
    <row r="22" spans="1:12">
      <c r="A22" s="4" t="s">
        <v>38</v>
      </c>
      <c r="B22" s="5">
        <f>IF(B17="yes",IF(OR($B$10="yes",$B$11="yes",$B$12="yes",$B$13="yes",$B$14="yes"),0,IF($B$7="yes",$B$5*H22,$B$5*G22)),0)</f>
        <v>8050</v>
      </c>
      <c r="C22" s="6">
        <f t="shared" ref="C22:C31" si="0">B22*1.15</f>
        <v>9257.5</v>
      </c>
      <c r="G22" s="34">
        <f>INDEX('6.Tables'!$B$2:$Z$9,MATCH('1.Residential-subdivision'!$A22,'6.Tables'!$A$2:$A$9,0),MATCH('Start here'!$A$16,'6.Tables'!$B$1:$Z$1,0))</f>
        <v>8050</v>
      </c>
      <c r="H22" s="34">
        <f>INDEX('6.Tables'!$B$2:$Z$9,MATCH('1.Residential-subdivision'!$A22,'6.Tables'!$A$2:$A$9,0),MATCH('Start here'!$A$16,'6.Tables'!$B$1:$Z$1,0))</f>
        <v>8050</v>
      </c>
    </row>
    <row r="23" spans="1:12">
      <c r="A23" s="4" t="s">
        <v>39</v>
      </c>
      <c r="B23" s="5">
        <f>IF(OR(B16="no",B18="yes"),0,IF(OR($B$10="yes",$B$11="yes",$B$12="yes",$B$13="yes",$B$14="yes"),0,IF($B$7="yes",$B$5*H23,$B$5*G23)))</f>
        <v>4300</v>
      </c>
      <c r="C23" s="6">
        <f t="shared" si="0"/>
        <v>4945</v>
      </c>
      <c r="G23" s="34">
        <f>INDEX('6.Tables'!$B$2:$Z$9,MATCH('1.Residential-subdivision'!$A23,'6.Tables'!$A$2:$A$9,0),MATCH('Start here'!$A$16,'6.Tables'!$B$1:$Z$1,0))</f>
        <v>4300</v>
      </c>
      <c r="H23" s="34">
        <f>INDEX('6.Tables'!$B$2:$Z$9,MATCH('1.Residential-subdivision'!$A23,'6.Tables'!$A$2:$A$9,0),MATCH('Start here'!$A$16,'6.Tables'!$B$1:$Z$1,0))</f>
        <v>4300</v>
      </c>
    </row>
    <row r="24" spans="1:12">
      <c r="A24" s="4" t="s">
        <v>40</v>
      </c>
      <c r="B24" s="5">
        <f t="shared" ref="B24:B29" si="1">IF(OR($B$10="yes",$B$11="yes",$B$12="yes",$B$13="yes",$B$14="yes"),0,IF($B$7="yes",$B$5*H24,$B$5*G24))</f>
        <v>3350</v>
      </c>
      <c r="C24" s="6">
        <f t="shared" si="0"/>
        <v>3852.4999999999995</v>
      </c>
      <c r="G24" s="34">
        <f>INDEX('6.Tables'!$B$2:$Z$9,MATCH('1.Residential-subdivision'!$A24,'6.Tables'!$A$2:$A$9,0),MATCH('Start here'!$A$16,'6.Tables'!$B$1:$Z$1,0))</f>
        <v>3350</v>
      </c>
      <c r="H24" s="34">
        <f>INDEX('6.Tables'!$B$2:$Z$9,MATCH('1.Residential-subdivision'!$A24,'6.Tables'!$A$2:$A$9,0),MATCH('Start here'!$A$16,'6.Tables'!$B$1:$Z$1,0))</f>
        <v>3350</v>
      </c>
    </row>
    <row r="25" spans="1:12">
      <c r="A25" s="4" t="s">
        <v>41</v>
      </c>
      <c r="B25" s="5">
        <f t="shared" si="1"/>
        <v>2030</v>
      </c>
      <c r="C25" s="6">
        <f t="shared" si="0"/>
        <v>2334.5</v>
      </c>
      <c r="G25" s="34">
        <f>INDEX('6.Tables'!$B$2:$Z$9,MATCH('1.Residential-subdivision'!$A25,'6.Tables'!$A$2:$A$9,0),MATCH('Start here'!$A$16,'6.Tables'!$B$1:$Z$1,0))</f>
        <v>2030</v>
      </c>
      <c r="H25" s="34">
        <f>INDEX('6.Tables'!$B$2:$Z$9,MATCH('1.Residential-subdivision'!$A25,'6.Tables'!$A$2:$A$9,0),MATCH('Start here'!$A$16,'6.Tables'!$B$1:$Z$1,0))</f>
        <v>2030</v>
      </c>
    </row>
    <row r="26" spans="1:12">
      <c r="A26" s="11" t="s">
        <v>42</v>
      </c>
      <c r="B26" s="12">
        <f>SUM(B21:B25)</f>
        <v>21545</v>
      </c>
      <c r="C26" s="13">
        <f t="shared" si="0"/>
        <v>24776.749999999996</v>
      </c>
      <c r="G26" s="1">
        <f>SUM(G21:G25)</f>
        <v>25360</v>
      </c>
      <c r="H26" s="29">
        <f>SUM(H21:H25)</f>
        <v>25360</v>
      </c>
      <c r="K26" s="10"/>
      <c r="L26" s="10"/>
    </row>
    <row r="27" spans="1:12">
      <c r="A27" s="4" t="s">
        <v>43</v>
      </c>
      <c r="B27" s="5">
        <f t="shared" si="1"/>
        <v>1550</v>
      </c>
      <c r="C27" s="6">
        <f t="shared" si="0"/>
        <v>1782.4999999999998</v>
      </c>
      <c r="G27" s="34">
        <f>INDEX('6.Tables'!$B$2:$Z$9,MATCH('1.Residential-subdivision'!$A27,'6.Tables'!$A$2:$A$9,0),MATCH('Start here'!$A$16,'6.Tables'!$B$1:$Z$1,0))</f>
        <v>1550</v>
      </c>
      <c r="H27" s="34">
        <f>INDEX('6.Tables'!$B$2:$Z$9,MATCH('1.Residential-subdivision'!$A27,'6.Tables'!$A$2:$A$9,0),MATCH('Start here'!$A$16,'6.Tables'!$B$1:$Z$1,0))</f>
        <v>1550</v>
      </c>
    </row>
    <row r="28" spans="1:12">
      <c r="A28" s="4" t="s">
        <v>44</v>
      </c>
      <c r="B28" s="5">
        <f t="shared" si="1"/>
        <v>15106</v>
      </c>
      <c r="C28" s="6">
        <f t="shared" si="0"/>
        <v>17371.899999999998</v>
      </c>
      <c r="G28" s="34">
        <f>INDEX('6.Tables'!$B$2:$Z$9,MATCH('1.Residential-subdivision'!$A28,'6.Tables'!$A$2:$A$9,0),MATCH('Start here'!$A$16,'6.Tables'!$B$1:$Z$1,0))</f>
        <v>15106</v>
      </c>
      <c r="H28" s="2">
        <v>0</v>
      </c>
    </row>
    <row r="29" spans="1:12">
      <c r="A29" s="4" t="s">
        <v>45</v>
      </c>
      <c r="B29" s="5">
        <f t="shared" si="1"/>
        <v>0</v>
      </c>
      <c r="C29" s="6">
        <f t="shared" si="0"/>
        <v>0</v>
      </c>
      <c r="G29" s="2">
        <v>0</v>
      </c>
      <c r="H29" s="34">
        <f>INDEX('6.Tables'!$B$2:$Z$9,MATCH('1.Residential-subdivision'!$A29,'6.Tables'!$A$2:$A$9,0),MATCH('Start here'!$A$16,'6.Tables'!$B$1:$Z$1,0))</f>
        <v>280</v>
      </c>
    </row>
    <row r="30" spans="1:12">
      <c r="A30" s="11" t="s">
        <v>46</v>
      </c>
      <c r="B30" s="12">
        <f>SUM(B27:B29)</f>
        <v>16656</v>
      </c>
      <c r="C30" s="13">
        <f t="shared" si="0"/>
        <v>19154.399999999998</v>
      </c>
      <c r="G30" s="1">
        <f>SUM(G27:G29)</f>
        <v>16656</v>
      </c>
      <c r="H30" s="29">
        <f>SUM(H27:H29)</f>
        <v>1830</v>
      </c>
      <c r="K30" s="10"/>
      <c r="L30" s="10"/>
    </row>
    <row r="31" spans="1:12" ht="15.75" thickBot="1">
      <c r="A31" s="14" t="s">
        <v>47</v>
      </c>
      <c r="B31" s="15">
        <f>B30+B26</f>
        <v>38201</v>
      </c>
      <c r="C31" s="16">
        <f t="shared" si="0"/>
        <v>43931.149999999994</v>
      </c>
      <c r="G31" s="1">
        <f>G26+G30</f>
        <v>42016</v>
      </c>
      <c r="H31" s="29">
        <f>H26+H30</f>
        <v>27190</v>
      </c>
      <c r="K31" s="10"/>
      <c r="L31" s="10"/>
    </row>
    <row r="32" spans="1:12" ht="15.75" thickTop="1"/>
  </sheetData>
  <mergeCells count="1">
    <mergeCell ref="C18:G18"/>
  </mergeCells>
  <dataValidations count="1">
    <dataValidation type="list" allowBlank="1" showInputMessage="1" showErrorMessage="1" sqref="B7 B10:B18" xr:uid="{FFC3BEC7-CFA1-43C1-983B-0EE0E09D64C6}">
      <formula1>"yes,no"</formula1>
    </dataValidation>
  </dataValidations>
  <hyperlinks>
    <hyperlink ref="C7" r:id="rId1" xr:uid="{C773ACDF-A802-4552-ADD0-00FEB8FBE85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478D7C8-CBAD-4F1C-B12D-CF80D16CB305}">
          <x14:formula1>
            <xm:f>'6.Tables'!$B$1:$E$1</xm:f>
          </x14:formula1>
          <xm:sqref>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0C472-E46C-42D2-BACA-4838EF8F2574}">
  <dimension ref="A1:H38"/>
  <sheetViews>
    <sheetView workbookViewId="0">
      <selection activeCell="B3" sqref="B3"/>
    </sheetView>
  </sheetViews>
  <sheetFormatPr defaultRowHeight="15"/>
  <cols>
    <col min="1" max="1" width="82.85546875" customWidth="1"/>
    <col min="2" max="2" width="16.5703125" bestFit="1" customWidth="1"/>
    <col min="3" max="3" width="18.28515625" bestFit="1" customWidth="1"/>
    <col min="7" max="7" width="19.140625" bestFit="1" customWidth="1"/>
    <col min="8" max="8" width="18.28515625" bestFit="1" customWidth="1"/>
  </cols>
  <sheetData>
    <row r="1" spans="1:3" ht="21">
      <c r="A1" s="9" t="s">
        <v>48</v>
      </c>
    </row>
    <row r="2" spans="1:3">
      <c r="B2" s="10" t="s">
        <v>13</v>
      </c>
      <c r="C2" s="10" t="s">
        <v>49</v>
      </c>
    </row>
    <row r="3" spans="1:3">
      <c r="A3" t="s">
        <v>50</v>
      </c>
      <c r="B3" s="23">
        <v>0</v>
      </c>
      <c r="C3">
        <v>0.5</v>
      </c>
    </row>
    <row r="4" spans="1:3">
      <c r="A4" t="s">
        <v>51</v>
      </c>
      <c r="B4" s="23">
        <v>0</v>
      </c>
      <c r="C4">
        <v>0.75</v>
      </c>
    </row>
    <row r="5" spans="1:3">
      <c r="A5" t="s">
        <v>52</v>
      </c>
      <c r="B5" s="23">
        <v>0</v>
      </c>
      <c r="C5">
        <v>1</v>
      </c>
    </row>
    <row r="6" spans="1:3">
      <c r="A6" s="10" t="s">
        <v>53</v>
      </c>
      <c r="B6">
        <f>(B3*C3+B4*C4+B5*C5)</f>
        <v>0</v>
      </c>
    </row>
    <row r="7" spans="1:3">
      <c r="A7" t="s">
        <v>54</v>
      </c>
      <c r="B7" s="23">
        <v>0</v>
      </c>
      <c r="C7">
        <v>0.5</v>
      </c>
    </row>
    <row r="8" spans="1:3">
      <c r="A8" t="s">
        <v>55</v>
      </c>
      <c r="B8" s="23">
        <v>0</v>
      </c>
      <c r="C8">
        <v>0.75</v>
      </c>
    </row>
    <row r="9" spans="1:3">
      <c r="A9" t="s">
        <v>56</v>
      </c>
      <c r="B9" s="23">
        <v>1</v>
      </c>
      <c r="C9">
        <v>1</v>
      </c>
    </row>
    <row r="10" spans="1:3">
      <c r="A10" s="10" t="s">
        <v>57</v>
      </c>
      <c r="B10">
        <f>(B7*C7+B8*C8+B9*C9)</f>
        <v>1</v>
      </c>
    </row>
    <row r="11" spans="1:3">
      <c r="A11" s="10" t="s">
        <v>16</v>
      </c>
      <c r="B11" s="10">
        <f>B10-B6</f>
        <v>1</v>
      </c>
    </row>
    <row r="13" spans="1:3">
      <c r="A13" t="s">
        <v>17</v>
      </c>
      <c r="B13" s="23" t="s">
        <v>18</v>
      </c>
      <c r="C13" s="8" t="s">
        <v>19</v>
      </c>
    </row>
    <row r="15" spans="1:3">
      <c r="A15" s="10" t="s">
        <v>20</v>
      </c>
    </row>
    <row r="16" spans="1:3">
      <c r="A16" t="s">
        <v>21</v>
      </c>
      <c r="B16" s="23" t="s">
        <v>18</v>
      </c>
    </row>
    <row r="17" spans="1:8">
      <c r="A17" t="s">
        <v>22</v>
      </c>
      <c r="B17" s="23" t="s">
        <v>18</v>
      </c>
    </row>
    <row r="18" spans="1:8">
      <c r="A18" t="s">
        <v>23</v>
      </c>
      <c r="B18" s="23" t="s">
        <v>18</v>
      </c>
    </row>
    <row r="19" spans="1:8">
      <c r="A19" t="s">
        <v>24</v>
      </c>
      <c r="B19" s="23" t="s">
        <v>18</v>
      </c>
    </row>
    <row r="20" spans="1:8">
      <c r="A20" t="s">
        <v>25</v>
      </c>
      <c r="B20" s="23" t="s">
        <v>18</v>
      </c>
    </row>
    <row r="21" spans="1:8">
      <c r="A21" t="s">
        <v>26</v>
      </c>
      <c r="B21" s="23" t="s">
        <v>27</v>
      </c>
      <c r="C21" t="s">
        <v>28</v>
      </c>
      <c r="D21" s="24">
        <v>0.5</v>
      </c>
    </row>
    <row r="22" spans="1:8">
      <c r="A22" t="s">
        <v>29</v>
      </c>
      <c r="B22" s="23" t="s">
        <v>27</v>
      </c>
    </row>
    <row r="23" spans="1:8" ht="15.75" thickBot="1">
      <c r="A23" t="s">
        <v>30</v>
      </c>
      <c r="B23" s="23" t="s">
        <v>27</v>
      </c>
    </row>
    <row r="24" spans="1:8" ht="15.75" thickBot="1">
      <c r="A24" t="s">
        <v>31</v>
      </c>
      <c r="B24" s="23" t="s">
        <v>18</v>
      </c>
      <c r="C24" s="44" t="str">
        <f>IF(B24="yes","Look up Tasman District Council water DCs and add to the totals below","")</f>
        <v/>
      </c>
      <c r="D24" s="44"/>
      <c r="E24" s="44"/>
      <c r="F24" s="44"/>
      <c r="G24" s="45"/>
    </row>
    <row r="26" spans="1:8" ht="45">
      <c r="A26" s="3" t="s">
        <v>32</v>
      </c>
      <c r="B26" s="7" t="s">
        <v>33</v>
      </c>
      <c r="C26" s="7" t="s">
        <v>34</v>
      </c>
      <c r="G26" s="3" t="s">
        <v>35</v>
      </c>
      <c r="H26" s="3" t="s">
        <v>36</v>
      </c>
    </row>
    <row r="27" spans="1:8">
      <c r="A27" s="4" t="s">
        <v>37</v>
      </c>
      <c r="B27" s="5">
        <f>IF(B21="no",IF(OR($B$16="yes",$B$17="yes",$B$18="yes",$B$19="yes",$B$20="yes"),0,IF($B$13="yes",$B$11*H27,$B$11*G27)),IF(OR($B$16="yes",$B$17="yes",$B$18="yes",$B$19="yes",$B$20="yes"),0,IF($B$13="yes",$B$11*H27,$B$11*G27))*(1-D21))</f>
        <v>3815</v>
      </c>
      <c r="C27" s="6">
        <f>B27*1.15</f>
        <v>4387.25</v>
      </c>
      <c r="G27" s="30">
        <f>'1.Residential-subdivision'!G21</f>
        <v>7630</v>
      </c>
      <c r="H27" s="30">
        <f>'1.Residential-subdivision'!H21</f>
        <v>7630</v>
      </c>
    </row>
    <row r="28" spans="1:8">
      <c r="A28" s="4" t="s">
        <v>38</v>
      </c>
      <c r="B28" s="5">
        <f>IF(B23="yes",IF(OR($B$16="yes",$B$17="yes",$B$18="yes",$B$19="yes",$B$20="yes"),0,IF($B$13="yes",$B$11*H28,$B$11*G28)),0)</f>
        <v>8050</v>
      </c>
      <c r="C28" s="6">
        <f t="shared" ref="C28:C37" si="0">B28*1.15</f>
        <v>9257.5</v>
      </c>
      <c r="G28" s="30">
        <f>'1.Residential-subdivision'!G22</f>
        <v>8050</v>
      </c>
      <c r="H28" s="30">
        <f>'1.Residential-subdivision'!H22</f>
        <v>8050</v>
      </c>
    </row>
    <row r="29" spans="1:8">
      <c r="A29" s="4" t="s">
        <v>39</v>
      </c>
      <c r="B29" s="5">
        <f>IF(OR(B22="no",B24="yes"),0,IF(OR($B$16="yes",$B$17="yes",$B$18="yes",$B$19="yes",$B$20="yes"),0,IF($B$13="yes",$B$11*H29,$B$11*G29)))</f>
        <v>4300</v>
      </c>
      <c r="C29" s="6">
        <f t="shared" si="0"/>
        <v>4945</v>
      </c>
      <c r="G29" s="30">
        <f>'1.Residential-subdivision'!G23</f>
        <v>4300</v>
      </c>
      <c r="H29" s="30">
        <f>'1.Residential-subdivision'!H23</f>
        <v>4300</v>
      </c>
    </row>
    <row r="30" spans="1:8">
      <c r="A30" s="4" t="s">
        <v>40</v>
      </c>
      <c r="B30" s="5">
        <f t="shared" ref="B30:B35" si="1">IF(OR($B$16="yes",$B$17="yes",$B$18="yes",$B$19="yes",$B$20="yes"),0,IF($B$13="yes",$B$11*H30,$B$11*G30))</f>
        <v>3350</v>
      </c>
      <c r="C30" s="6">
        <f t="shared" si="0"/>
        <v>3852.4999999999995</v>
      </c>
      <c r="G30" s="30">
        <f>'1.Residential-subdivision'!G24</f>
        <v>3350</v>
      </c>
      <c r="H30" s="30">
        <f>'1.Residential-subdivision'!H24</f>
        <v>3350</v>
      </c>
    </row>
    <row r="31" spans="1:8">
      <c r="A31" s="4" t="s">
        <v>41</v>
      </c>
      <c r="B31" s="5">
        <f t="shared" si="1"/>
        <v>2030</v>
      </c>
      <c r="C31" s="6">
        <f t="shared" si="0"/>
        <v>2334.5</v>
      </c>
      <c r="G31" s="30">
        <f>'1.Residential-subdivision'!G25</f>
        <v>2030</v>
      </c>
      <c r="H31" s="30">
        <f>'1.Residential-subdivision'!H25</f>
        <v>2030</v>
      </c>
    </row>
    <row r="32" spans="1:8">
      <c r="A32" s="11" t="s">
        <v>42</v>
      </c>
      <c r="B32" s="12">
        <f>SUM(B27:B31)</f>
        <v>21545</v>
      </c>
      <c r="C32" s="13">
        <f t="shared" si="0"/>
        <v>24776.749999999996</v>
      </c>
      <c r="G32" s="31">
        <f>SUM(G27:G31)</f>
        <v>25360</v>
      </c>
      <c r="H32" s="31">
        <f>SUM(H27:H31)</f>
        <v>25360</v>
      </c>
    </row>
    <row r="33" spans="1:8">
      <c r="A33" s="4" t="s">
        <v>43</v>
      </c>
      <c r="B33" s="5">
        <f t="shared" si="1"/>
        <v>1550</v>
      </c>
      <c r="C33" s="6">
        <f t="shared" si="0"/>
        <v>1782.4999999999998</v>
      </c>
      <c r="G33" s="30">
        <f>'1.Residential-subdivision'!G27</f>
        <v>1550</v>
      </c>
      <c r="H33" s="30">
        <f>'1.Residential-subdivision'!H27</f>
        <v>1550</v>
      </c>
    </row>
    <row r="34" spans="1:8">
      <c r="A34" s="4" t="s">
        <v>44</v>
      </c>
      <c r="B34" s="5">
        <f t="shared" si="1"/>
        <v>15106</v>
      </c>
      <c r="C34" s="6">
        <f t="shared" si="0"/>
        <v>17371.899999999998</v>
      </c>
      <c r="G34" s="30">
        <f>'1.Residential-subdivision'!G28</f>
        <v>15106</v>
      </c>
      <c r="H34" s="30">
        <f>'1.Residential-subdivision'!H28</f>
        <v>0</v>
      </c>
    </row>
    <row r="35" spans="1:8">
      <c r="A35" s="4" t="s">
        <v>45</v>
      </c>
      <c r="B35" s="5">
        <f t="shared" si="1"/>
        <v>0</v>
      </c>
      <c r="C35" s="6">
        <f t="shared" si="0"/>
        <v>0</v>
      </c>
      <c r="G35" s="30">
        <f>'1.Residential-subdivision'!G29</f>
        <v>0</v>
      </c>
      <c r="H35" s="30">
        <f>'1.Residential-subdivision'!H29</f>
        <v>280</v>
      </c>
    </row>
    <row r="36" spans="1:8">
      <c r="A36" s="11" t="s">
        <v>46</v>
      </c>
      <c r="B36" s="12">
        <f>SUM(B33:B35)</f>
        <v>16656</v>
      </c>
      <c r="C36" s="13">
        <f t="shared" si="0"/>
        <v>19154.399999999998</v>
      </c>
      <c r="G36" s="31">
        <f>SUM(G33:G35)</f>
        <v>16656</v>
      </c>
      <c r="H36" s="29">
        <f>SUM(H33:H35)</f>
        <v>1830</v>
      </c>
    </row>
    <row r="37" spans="1:8" ht="15.75" thickBot="1">
      <c r="A37" s="14" t="s">
        <v>47</v>
      </c>
      <c r="B37" s="15">
        <f>B36+B32</f>
        <v>38201</v>
      </c>
      <c r="C37" s="16">
        <f t="shared" si="0"/>
        <v>43931.149999999994</v>
      </c>
      <c r="G37" s="31">
        <f>G32+G36</f>
        <v>42016</v>
      </c>
      <c r="H37" s="29">
        <f>H32+H36</f>
        <v>27190</v>
      </c>
    </row>
    <row r="38" spans="1:8" ht="15.75" thickTop="1"/>
  </sheetData>
  <mergeCells count="1">
    <mergeCell ref="C24:G24"/>
  </mergeCells>
  <dataValidations count="1">
    <dataValidation type="list" allowBlank="1" showInputMessage="1" showErrorMessage="1" sqref="B13 B16:B24" xr:uid="{01F03678-9BBC-4702-A39D-5EDF11F6068D}">
      <formula1>"yes,no"</formula1>
    </dataValidation>
  </dataValidations>
  <hyperlinks>
    <hyperlink ref="C13" r:id="rId1" xr:uid="{C32484FE-5FC3-4704-9200-0DCA2711824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8035-6960-4BFD-B398-D5CC8C509F1B}">
  <dimension ref="A1:H29"/>
  <sheetViews>
    <sheetView workbookViewId="0">
      <selection activeCell="B3" sqref="B3"/>
    </sheetView>
  </sheetViews>
  <sheetFormatPr defaultRowHeight="15"/>
  <cols>
    <col min="1" max="1" width="82.85546875" customWidth="1"/>
    <col min="2" max="2" width="16.5703125" bestFit="1" customWidth="1"/>
    <col min="3" max="3" width="18.28515625" bestFit="1" customWidth="1"/>
    <col min="7" max="7" width="19.140625" bestFit="1" customWidth="1"/>
    <col min="8" max="8" width="18.28515625" bestFit="1" customWidth="1"/>
  </cols>
  <sheetData>
    <row r="1" spans="1:7" ht="21">
      <c r="A1" s="9" t="s">
        <v>58</v>
      </c>
    </row>
    <row r="2" spans="1:7">
      <c r="B2" s="10" t="s">
        <v>13</v>
      </c>
    </row>
    <row r="3" spans="1:7">
      <c r="A3" t="s">
        <v>14</v>
      </c>
      <c r="B3" s="23">
        <v>1</v>
      </c>
    </row>
    <row r="4" spans="1:7">
      <c r="A4" t="s">
        <v>15</v>
      </c>
      <c r="B4" s="23">
        <v>2</v>
      </c>
    </row>
    <row r="5" spans="1:7">
      <c r="A5" s="10" t="s">
        <v>16</v>
      </c>
      <c r="B5" s="10">
        <f>B4-B3</f>
        <v>1</v>
      </c>
    </row>
    <row r="7" spans="1:7">
      <c r="A7" s="10" t="s">
        <v>20</v>
      </c>
    </row>
    <row r="8" spans="1:7">
      <c r="A8" t="s">
        <v>21</v>
      </c>
      <c r="B8" s="23" t="s">
        <v>18</v>
      </c>
    </row>
    <row r="9" spans="1:7">
      <c r="A9" t="s">
        <v>22</v>
      </c>
      <c r="B9" s="23" t="s">
        <v>18</v>
      </c>
    </row>
    <row r="10" spans="1:7">
      <c r="A10" t="s">
        <v>23</v>
      </c>
      <c r="B10" s="23" t="s">
        <v>18</v>
      </c>
    </row>
    <row r="11" spans="1:7">
      <c r="A11" t="s">
        <v>24</v>
      </c>
      <c r="B11" s="23" t="s">
        <v>18</v>
      </c>
    </row>
    <row r="12" spans="1:7">
      <c r="A12" t="s">
        <v>26</v>
      </c>
      <c r="B12" s="23" t="s">
        <v>27</v>
      </c>
      <c r="C12" t="s">
        <v>28</v>
      </c>
      <c r="D12" s="24">
        <v>0.5</v>
      </c>
    </row>
    <row r="13" spans="1:7">
      <c r="A13" t="s">
        <v>29</v>
      </c>
      <c r="B13" s="23" t="s">
        <v>27</v>
      </c>
    </row>
    <row r="14" spans="1:7" ht="15.75" thickBot="1">
      <c r="A14" t="s">
        <v>30</v>
      </c>
      <c r="B14" s="23" t="s">
        <v>27</v>
      </c>
    </row>
    <row r="15" spans="1:7" ht="15.75" thickBot="1">
      <c r="A15" t="s">
        <v>31</v>
      </c>
      <c r="B15" s="23" t="s">
        <v>18</v>
      </c>
      <c r="C15" s="44" t="str">
        <f>IF(B15="yes","Look up Tasman District Council water DCs and add to the totals below","")</f>
        <v/>
      </c>
      <c r="D15" s="44"/>
      <c r="E15" s="44"/>
      <c r="F15" s="44"/>
      <c r="G15" s="45"/>
    </row>
    <row r="17" spans="1:8" ht="45">
      <c r="A17" s="3" t="s">
        <v>32</v>
      </c>
      <c r="B17" s="7" t="s">
        <v>33</v>
      </c>
      <c r="C17" s="7" t="s">
        <v>34</v>
      </c>
      <c r="G17" s="3" t="s">
        <v>35</v>
      </c>
      <c r="H17" s="3" t="s">
        <v>36</v>
      </c>
    </row>
    <row r="18" spans="1:8">
      <c r="A18" s="4" t="s">
        <v>37</v>
      </c>
      <c r="B18" s="5">
        <f>IF(B12="no",IF(OR($B$8="yes",$B$9="yes",$B$10="yes",$B$11="yes"),0,$B$5*G18),IF(OR($B$8="yes",$B$9="yes",$B$10="yes",$B$11="yes"),0,$B$5*G18)*(1-D12))</f>
        <v>3815</v>
      </c>
      <c r="C18" s="6">
        <f>B18*1.15</f>
        <v>4387.25</v>
      </c>
      <c r="G18" s="30">
        <f>'1.Residential-subdivision'!G21</f>
        <v>7630</v>
      </c>
      <c r="H18" s="30">
        <f>'1.Residential-subdivision'!H21</f>
        <v>7630</v>
      </c>
    </row>
    <row r="19" spans="1:8">
      <c r="A19" s="4" t="s">
        <v>38</v>
      </c>
      <c r="B19" s="5">
        <f>IF(B14="yes",IF(OR($B$8="yes",$B$9="yes",$B$10="yes",$B$11="yes"),0,$B$5*G19),0)</f>
        <v>8050</v>
      </c>
      <c r="C19" s="6">
        <f t="shared" ref="C19:C28" si="0">B19*1.15</f>
        <v>9257.5</v>
      </c>
      <c r="G19" s="30">
        <f>'1.Residential-subdivision'!G22</f>
        <v>8050</v>
      </c>
      <c r="H19" s="30">
        <f>'1.Residential-subdivision'!H22</f>
        <v>8050</v>
      </c>
    </row>
    <row r="20" spans="1:8">
      <c r="A20" s="4" t="s">
        <v>39</v>
      </c>
      <c r="B20" s="5">
        <f>IF(OR(B13="no",B15="yes"),0,IF(OR($B$8="yes",$B$9="yes",$B$10="yes",$B$11="yes"),0,$B$5*G20))</f>
        <v>4300</v>
      </c>
      <c r="C20" s="6">
        <f t="shared" si="0"/>
        <v>4945</v>
      </c>
      <c r="G20" s="30">
        <f>'1.Residential-subdivision'!G23</f>
        <v>4300</v>
      </c>
      <c r="H20" s="30">
        <f>'1.Residential-subdivision'!H23</f>
        <v>4300</v>
      </c>
    </row>
    <row r="21" spans="1:8">
      <c r="A21" s="4" t="s">
        <v>40</v>
      </c>
      <c r="B21" s="5">
        <f>IF(OR($B$8="yes",$B$9="yes",$B$10="yes",$B$11="yes"),0,$B$5*G21)</f>
        <v>3350</v>
      </c>
      <c r="C21" s="6">
        <f t="shared" si="0"/>
        <v>3852.4999999999995</v>
      </c>
      <c r="G21" s="30">
        <f>'1.Residential-subdivision'!G24</f>
        <v>3350</v>
      </c>
      <c r="H21" s="30">
        <f>'1.Residential-subdivision'!H24</f>
        <v>3350</v>
      </c>
    </row>
    <row r="22" spans="1:8">
      <c r="A22" s="4" t="s">
        <v>41</v>
      </c>
      <c r="B22" s="5">
        <f>IF(OR($B$8="yes",$B$9="yes",$B$10="yes",$B$11="yes"),0,$B$5*G22)</f>
        <v>2030</v>
      </c>
      <c r="C22" s="6">
        <f t="shared" si="0"/>
        <v>2334.5</v>
      </c>
      <c r="G22" s="30">
        <f>'1.Residential-subdivision'!G25</f>
        <v>2030</v>
      </c>
      <c r="H22" s="30">
        <f>'1.Residential-subdivision'!H25</f>
        <v>2030</v>
      </c>
    </row>
    <row r="23" spans="1:8">
      <c r="A23" s="11" t="s">
        <v>42</v>
      </c>
      <c r="B23" s="12">
        <f>SUM(B18:B22)</f>
        <v>21545</v>
      </c>
      <c r="C23" s="13">
        <f t="shared" si="0"/>
        <v>24776.749999999996</v>
      </c>
      <c r="G23" s="31">
        <f>SUM(G18:G22)</f>
        <v>25360</v>
      </c>
      <c r="H23" s="31">
        <f>SUM(H18:H22)</f>
        <v>25360</v>
      </c>
    </row>
    <row r="24" spans="1:8">
      <c r="A24" s="4" t="s">
        <v>43</v>
      </c>
      <c r="B24" s="5">
        <f>IF(OR($B$8="yes",$B$9="yes",$B$10="yes",$B$11="yes"),0,$B$5*G24)</f>
        <v>1550</v>
      </c>
      <c r="C24" s="6">
        <f t="shared" si="0"/>
        <v>1782.4999999999998</v>
      </c>
      <c r="G24" s="30">
        <f>'1.Residential-subdivision'!G27</f>
        <v>1550</v>
      </c>
      <c r="H24" s="30">
        <f>'1.Residential-subdivision'!H27</f>
        <v>1550</v>
      </c>
    </row>
    <row r="25" spans="1:8">
      <c r="A25" s="4" t="s">
        <v>44</v>
      </c>
      <c r="B25" s="5">
        <v>0</v>
      </c>
      <c r="C25" s="6">
        <f t="shared" si="0"/>
        <v>0</v>
      </c>
      <c r="G25" s="30">
        <f>'1.Residential-subdivision'!G28</f>
        <v>15106</v>
      </c>
      <c r="H25" s="30">
        <f>'1.Residential-subdivision'!H28</f>
        <v>0</v>
      </c>
    </row>
    <row r="26" spans="1:8">
      <c r="A26" s="4" t="s">
        <v>45</v>
      </c>
      <c r="B26" s="5">
        <v>0</v>
      </c>
      <c r="C26" s="6">
        <f t="shared" si="0"/>
        <v>0</v>
      </c>
      <c r="G26" s="30">
        <f>'1.Residential-subdivision'!G29</f>
        <v>0</v>
      </c>
      <c r="H26" s="30">
        <f>'1.Residential-subdivision'!H29</f>
        <v>280</v>
      </c>
    </row>
    <row r="27" spans="1:8">
      <c r="A27" s="11" t="s">
        <v>46</v>
      </c>
      <c r="B27" s="12">
        <f>SUM(B24:B26)</f>
        <v>1550</v>
      </c>
      <c r="C27" s="13">
        <f t="shared" si="0"/>
        <v>1782.4999999999998</v>
      </c>
      <c r="G27" s="31">
        <f>SUM(G24:G26)</f>
        <v>16656</v>
      </c>
      <c r="H27" s="31">
        <f>SUM(H24:H26)</f>
        <v>1830</v>
      </c>
    </row>
    <row r="28" spans="1:8" ht="15.75" thickBot="1">
      <c r="A28" s="14" t="s">
        <v>47</v>
      </c>
      <c r="B28" s="15">
        <f>B27+B23</f>
        <v>23095</v>
      </c>
      <c r="C28" s="16">
        <f t="shared" si="0"/>
        <v>26559.249999999996</v>
      </c>
      <c r="G28" s="31">
        <f>G23+G27</f>
        <v>42016</v>
      </c>
      <c r="H28" s="31">
        <f>H23+H27</f>
        <v>27190</v>
      </c>
    </row>
    <row r="29" spans="1:8" ht="15.75" thickTop="1"/>
  </sheetData>
  <mergeCells count="1">
    <mergeCell ref="C15:G15"/>
  </mergeCells>
  <dataValidations count="1">
    <dataValidation type="list" allowBlank="1" showInputMessage="1" showErrorMessage="1" sqref="B8:B15" xr:uid="{5F046033-B7BB-4116-80BE-A84F174F3EB7}">
      <formula1>"yes,no"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6037-949E-4EDC-A4E4-5D3AEECD8D49}">
  <dimension ref="A1:K82"/>
  <sheetViews>
    <sheetView workbookViewId="0">
      <selection activeCell="B4" sqref="B4"/>
    </sheetView>
  </sheetViews>
  <sheetFormatPr defaultRowHeight="15"/>
  <cols>
    <col min="1" max="1" width="82.85546875" customWidth="1"/>
    <col min="2" max="2" width="16.5703125" bestFit="1" customWidth="1"/>
    <col min="3" max="3" width="18.28515625" bestFit="1" customWidth="1"/>
    <col min="7" max="7" width="16.85546875" customWidth="1"/>
    <col min="8" max="8" width="18.28515625" bestFit="1" customWidth="1"/>
    <col min="9" max="9" width="14.85546875" customWidth="1"/>
    <col min="10" max="10" width="18" bestFit="1" customWidth="1"/>
    <col min="11" max="11" width="15.140625" bestFit="1" customWidth="1"/>
    <col min="12" max="12" width="12" bestFit="1" customWidth="1"/>
    <col min="13" max="14" width="7.140625" customWidth="1"/>
  </cols>
  <sheetData>
    <row r="1" spans="1:3" ht="21">
      <c r="A1" s="9" t="s">
        <v>59</v>
      </c>
    </row>
    <row r="3" spans="1:3">
      <c r="A3" s="10" t="s">
        <v>60</v>
      </c>
      <c r="B3" s="10" t="s">
        <v>61</v>
      </c>
      <c r="C3" s="10" t="s">
        <v>62</v>
      </c>
    </row>
    <row r="4" spans="1:3">
      <c r="A4" t="s">
        <v>63</v>
      </c>
      <c r="B4" s="23">
        <v>20</v>
      </c>
      <c r="C4">
        <f>HLOOKUP(B4,$B$52:$H$53,2,FALSE)</f>
        <v>1</v>
      </c>
    </row>
    <row r="5" spans="1:3">
      <c r="A5" t="s">
        <v>64</v>
      </c>
      <c r="B5" s="23">
        <v>3</v>
      </c>
      <c r="C5">
        <f>B5/2</f>
        <v>1.5</v>
      </c>
    </row>
    <row r="6" spans="1:3">
      <c r="A6" t="s">
        <v>65</v>
      </c>
      <c r="B6" s="23">
        <v>400</v>
      </c>
      <c r="C6">
        <f>B6/316</f>
        <v>1.2658227848101267</v>
      </c>
    </row>
    <row r="7" spans="1:3">
      <c r="A7" t="s">
        <v>66</v>
      </c>
      <c r="B7" s="23">
        <v>400</v>
      </c>
      <c r="C7" s="21">
        <f>SUMPRODUCT(I57:I82,J57:J82)/100</f>
        <v>0.52</v>
      </c>
    </row>
    <row r="8" spans="1:3">
      <c r="A8" t="s">
        <v>67</v>
      </c>
      <c r="B8" s="23">
        <v>0</v>
      </c>
      <c r="C8">
        <f>B8*0.5</f>
        <v>0</v>
      </c>
    </row>
    <row r="10" spans="1:3">
      <c r="A10" s="10" t="s">
        <v>68</v>
      </c>
      <c r="B10" s="10" t="s">
        <v>61</v>
      </c>
      <c r="C10" s="10" t="s">
        <v>62</v>
      </c>
    </row>
    <row r="11" spans="1:3">
      <c r="A11" t="s">
        <v>63</v>
      </c>
      <c r="B11" s="23">
        <v>20</v>
      </c>
      <c r="C11">
        <f>HLOOKUP(B11,$B$52:$H$53,2,FALSE)</f>
        <v>1</v>
      </c>
    </row>
    <row r="12" spans="1:3">
      <c r="A12" t="s">
        <v>64</v>
      </c>
      <c r="B12" s="23">
        <v>5</v>
      </c>
      <c r="C12">
        <f>B12/2</f>
        <v>2.5</v>
      </c>
    </row>
    <row r="13" spans="1:3">
      <c r="A13" t="s">
        <v>65</v>
      </c>
      <c r="B13" s="23">
        <v>800</v>
      </c>
      <c r="C13">
        <f>B13/316</f>
        <v>2.5316455696202533</v>
      </c>
    </row>
    <row r="14" spans="1:3">
      <c r="A14" t="s">
        <v>66</v>
      </c>
      <c r="B14" s="23">
        <v>800</v>
      </c>
      <c r="C14" s="21">
        <f>SUMPRODUCT(I57:I82,K57:K82)/100</f>
        <v>1.04</v>
      </c>
    </row>
    <row r="15" spans="1:3">
      <c r="A15" t="s">
        <v>67</v>
      </c>
      <c r="B15" s="23">
        <v>0</v>
      </c>
      <c r="C15">
        <f>B15*0.5</f>
        <v>0</v>
      </c>
    </row>
    <row r="17" spans="1:4">
      <c r="A17" s="10" t="s">
        <v>69</v>
      </c>
      <c r="B17" s="10"/>
      <c r="C17" s="10" t="s">
        <v>62</v>
      </c>
    </row>
    <row r="18" spans="1:4">
      <c r="A18" t="s">
        <v>63</v>
      </c>
      <c r="C18">
        <f>C11-C4</f>
        <v>0</v>
      </c>
    </row>
    <row r="19" spans="1:4">
      <c r="A19" t="s">
        <v>64</v>
      </c>
      <c r="C19">
        <f t="shared" ref="C19:C22" si="0">C12-C5</f>
        <v>1</v>
      </c>
    </row>
    <row r="20" spans="1:4">
      <c r="A20" t="s">
        <v>65</v>
      </c>
      <c r="C20">
        <f t="shared" si="0"/>
        <v>1.2658227848101267</v>
      </c>
    </row>
    <row r="21" spans="1:4">
      <c r="A21" t="s">
        <v>70</v>
      </c>
      <c r="C21" s="21">
        <f>C14-C7</f>
        <v>0.52</v>
      </c>
    </row>
    <row r="22" spans="1:4">
      <c r="A22" t="s">
        <v>67</v>
      </c>
      <c r="C22">
        <f t="shared" si="0"/>
        <v>0</v>
      </c>
    </row>
    <row r="24" spans="1:4">
      <c r="A24" s="10" t="s">
        <v>20</v>
      </c>
    </row>
    <row r="25" spans="1:4">
      <c r="A25" t="s">
        <v>21</v>
      </c>
      <c r="B25" s="23" t="s">
        <v>18</v>
      </c>
    </row>
    <row r="26" spans="1:4">
      <c r="A26" t="s">
        <v>22</v>
      </c>
      <c r="B26" s="23" t="s">
        <v>18</v>
      </c>
    </row>
    <row r="27" spans="1:4">
      <c r="A27" t="s">
        <v>23</v>
      </c>
      <c r="B27" s="23" t="s">
        <v>18</v>
      </c>
    </row>
    <row r="28" spans="1:4">
      <c r="A28" t="s">
        <v>24</v>
      </c>
      <c r="B28" s="23" t="s">
        <v>18</v>
      </c>
    </row>
    <row r="29" spans="1:4">
      <c r="A29" t="s">
        <v>25</v>
      </c>
      <c r="B29" s="23" t="s">
        <v>18</v>
      </c>
    </row>
    <row r="30" spans="1:4">
      <c r="A30" t="s">
        <v>26</v>
      </c>
      <c r="B30" s="23" t="s">
        <v>27</v>
      </c>
      <c r="C30" t="s">
        <v>28</v>
      </c>
      <c r="D30" s="24">
        <v>0.5</v>
      </c>
    </row>
    <row r="31" spans="1:4">
      <c r="A31" t="s">
        <v>29</v>
      </c>
      <c r="B31" s="23" t="s">
        <v>27</v>
      </c>
    </row>
    <row r="32" spans="1:4" ht="15.75" thickBot="1">
      <c r="A32" t="s">
        <v>30</v>
      </c>
      <c r="B32" s="23" t="s">
        <v>27</v>
      </c>
    </row>
    <row r="33" spans="1:8" ht="15.75" thickBot="1">
      <c r="A33" t="s">
        <v>31</v>
      </c>
      <c r="B33" s="23" t="s">
        <v>18</v>
      </c>
      <c r="C33" s="44" t="str">
        <f>IF(B33="yes","Look up Tasman District Council water DCs and add to the totals below","")</f>
        <v/>
      </c>
      <c r="D33" s="44"/>
      <c r="E33" s="44"/>
      <c r="F33" s="44"/>
      <c r="G33" s="45"/>
    </row>
    <row r="35" spans="1:8" ht="45" customHeight="1">
      <c r="A35" s="3" t="s">
        <v>32</v>
      </c>
      <c r="B35" s="7" t="s">
        <v>33</v>
      </c>
      <c r="C35" s="7" t="s">
        <v>34</v>
      </c>
      <c r="G35" s="3" t="s">
        <v>35</v>
      </c>
      <c r="H35" s="3" t="s">
        <v>36</v>
      </c>
    </row>
    <row r="36" spans="1:8">
      <c r="A36" s="4" t="s">
        <v>37</v>
      </c>
      <c r="B36" s="5">
        <f>IF(B30="no",IF(OR($B$25="yes",$B$26="yes",$B$27="yes",$B$28="yes"),0,$C$20*G36),IF(OR($B$25="yes",$B$26="yes",$B$27="yes",$B$28="yes"),0,$C$20*G36*(1-D30)))</f>
        <v>4829.1139240506336</v>
      </c>
      <c r="C36" s="6">
        <f>B36*1.15</f>
        <v>5553.4810126582279</v>
      </c>
      <c r="G36" s="30">
        <f>'1.Residential-subdivision'!G21</f>
        <v>7630</v>
      </c>
      <c r="H36" s="30">
        <f>'1.Residential-subdivision'!H21</f>
        <v>7630</v>
      </c>
    </row>
    <row r="37" spans="1:8">
      <c r="A37" s="4" t="s">
        <v>38</v>
      </c>
      <c r="B37" s="5">
        <f>IF(B32="yes",IF(OR($B$25="yes",$B$26="yes",$B$27="yes",$B$28="yes"),0,$C$19*G37),0)</f>
        <v>8050</v>
      </c>
      <c r="C37" s="6">
        <f t="shared" ref="C37:C46" si="1">B37*1.15</f>
        <v>9257.5</v>
      </c>
      <c r="G37" s="30">
        <f>'1.Residential-subdivision'!G22</f>
        <v>8050</v>
      </c>
      <c r="H37" s="30">
        <f>'1.Residential-subdivision'!H22</f>
        <v>8050</v>
      </c>
    </row>
    <row r="38" spans="1:8">
      <c r="A38" s="4" t="s">
        <v>39</v>
      </c>
      <c r="B38" s="5">
        <f>IF(OR(B31="no",B33="yes"),0,IF(OR($B$25="yes",$B$26="yes",$B$27="yes",$B$28="yes"),0,$C$18*G38))</f>
        <v>0</v>
      </c>
      <c r="C38" s="6">
        <f t="shared" si="1"/>
        <v>0</v>
      </c>
      <c r="G38" s="30">
        <f>'1.Residential-subdivision'!G23</f>
        <v>4300</v>
      </c>
      <c r="H38" s="30">
        <f>'1.Residential-subdivision'!H23</f>
        <v>4300</v>
      </c>
    </row>
    <row r="39" spans="1:8">
      <c r="A39" s="4" t="s">
        <v>40</v>
      </c>
      <c r="B39" s="5">
        <f>IF(OR($B$25="yes",$B$26="yes",$B$27="yes",$B$28="yes"),0,$C$21*G39)</f>
        <v>1742</v>
      </c>
      <c r="C39" s="6">
        <f t="shared" si="1"/>
        <v>2003.3</v>
      </c>
      <c r="G39" s="30">
        <f>'1.Residential-subdivision'!G24</f>
        <v>3350</v>
      </c>
      <c r="H39" s="30">
        <f>'1.Residential-subdivision'!H24</f>
        <v>3350</v>
      </c>
    </row>
    <row r="40" spans="1:8">
      <c r="A40" s="4" t="s">
        <v>41</v>
      </c>
      <c r="B40" s="5">
        <v>0</v>
      </c>
      <c r="C40" s="6">
        <f t="shared" si="1"/>
        <v>0</v>
      </c>
      <c r="G40" s="30">
        <f>'1.Residential-subdivision'!G25</f>
        <v>2030</v>
      </c>
      <c r="H40" s="30">
        <f>'1.Residential-subdivision'!H25</f>
        <v>2030</v>
      </c>
    </row>
    <row r="41" spans="1:8">
      <c r="A41" s="11" t="s">
        <v>42</v>
      </c>
      <c r="B41" s="12">
        <f>SUM(B36:B40)</f>
        <v>14621.113924050635</v>
      </c>
      <c r="C41" s="13">
        <f t="shared" si="1"/>
        <v>16814.28101265823</v>
      </c>
      <c r="G41" s="31">
        <f>SUM(G36:G40)</f>
        <v>25360</v>
      </c>
      <c r="H41" s="31">
        <f>SUM(H36:H40)</f>
        <v>25360</v>
      </c>
    </row>
    <row r="42" spans="1:8">
      <c r="A42" s="4" t="s">
        <v>43</v>
      </c>
      <c r="B42" s="5">
        <f>IF(OR($B$25="yes",$B$26="yes",$B$27="yes",$B$28="yes"),0,$C$22*G42)</f>
        <v>0</v>
      </c>
      <c r="C42" s="6">
        <f t="shared" si="1"/>
        <v>0</v>
      </c>
      <c r="G42" s="30">
        <f>'1.Residential-subdivision'!G27</f>
        <v>1550</v>
      </c>
      <c r="H42" s="30">
        <f>'1.Residential-subdivision'!H27</f>
        <v>1550</v>
      </c>
    </row>
    <row r="43" spans="1:8">
      <c r="A43" s="4" t="s">
        <v>44</v>
      </c>
      <c r="B43" s="5">
        <v>0</v>
      </c>
      <c r="C43" s="6">
        <f t="shared" si="1"/>
        <v>0</v>
      </c>
      <c r="G43" s="30">
        <f>'1.Residential-subdivision'!G28</f>
        <v>15106</v>
      </c>
      <c r="H43" s="30">
        <f>'1.Residential-subdivision'!H28</f>
        <v>0</v>
      </c>
    </row>
    <row r="44" spans="1:8">
      <c r="A44" s="4" t="s">
        <v>45</v>
      </c>
      <c r="B44" s="5">
        <v>0</v>
      </c>
      <c r="C44" s="6">
        <f t="shared" si="1"/>
        <v>0</v>
      </c>
      <c r="G44" s="30">
        <f>'1.Residential-subdivision'!G29</f>
        <v>0</v>
      </c>
      <c r="H44" s="30">
        <f>'1.Residential-subdivision'!H29</f>
        <v>280</v>
      </c>
    </row>
    <row r="45" spans="1:8">
      <c r="A45" s="11" t="s">
        <v>46</v>
      </c>
      <c r="B45" s="12">
        <f>SUM(B42:B44)</f>
        <v>0</v>
      </c>
      <c r="C45" s="13">
        <f t="shared" si="1"/>
        <v>0</v>
      </c>
      <c r="G45" s="31">
        <f>SUM(G42:G44)</f>
        <v>16656</v>
      </c>
      <c r="H45" s="31">
        <f>SUM(H42:H44)</f>
        <v>1830</v>
      </c>
    </row>
    <row r="46" spans="1:8" ht="15.75" thickBot="1">
      <c r="A46" s="14" t="s">
        <v>47</v>
      </c>
      <c r="B46" s="15">
        <f>B45+B41</f>
        <v>14621.113924050635</v>
      </c>
      <c r="C46" s="16">
        <f t="shared" si="1"/>
        <v>16814.28101265823</v>
      </c>
      <c r="G46" s="31">
        <f>G41+G45</f>
        <v>42016</v>
      </c>
      <c r="H46" s="31">
        <f>H41+H45</f>
        <v>27190</v>
      </c>
    </row>
    <row r="51" spans="1:11" ht="18.75">
      <c r="A51" s="20" t="s">
        <v>71</v>
      </c>
    </row>
    <row r="52" spans="1:11">
      <c r="A52" s="3" t="s">
        <v>72</v>
      </c>
      <c r="B52" s="3">
        <v>20</v>
      </c>
      <c r="C52" s="3">
        <v>25</v>
      </c>
      <c r="D52" s="3">
        <v>32</v>
      </c>
      <c r="E52" s="3">
        <v>40</v>
      </c>
      <c r="F52" s="3">
        <v>50</v>
      </c>
      <c r="G52" s="3">
        <v>100</v>
      </c>
      <c r="H52" s="3">
        <v>150</v>
      </c>
    </row>
    <row r="53" spans="1:11">
      <c r="A53" s="17" t="s">
        <v>62</v>
      </c>
      <c r="B53" s="18">
        <v>1</v>
      </c>
      <c r="C53" s="18">
        <v>1.56</v>
      </c>
      <c r="D53" s="18">
        <v>2.56</v>
      </c>
      <c r="E53" s="18">
        <v>4</v>
      </c>
      <c r="F53" s="18">
        <v>6.25</v>
      </c>
      <c r="G53" s="18">
        <v>25</v>
      </c>
      <c r="H53" s="18">
        <v>56.25</v>
      </c>
    </row>
    <row r="55" spans="1:11" ht="18.75">
      <c r="A55" s="20" t="s">
        <v>73</v>
      </c>
    </row>
    <row r="56" spans="1:11" ht="25.5">
      <c r="A56" s="10" t="s">
        <v>74</v>
      </c>
      <c r="B56" s="3" t="s">
        <v>32</v>
      </c>
      <c r="I56" s="3" t="s">
        <v>75</v>
      </c>
      <c r="J56" s="10" t="s">
        <v>76</v>
      </c>
      <c r="K56" s="10" t="s">
        <v>77</v>
      </c>
    </row>
    <row r="57" spans="1:11">
      <c r="A57" s="22">
        <v>1</v>
      </c>
      <c r="B57" s="46" t="s">
        <v>78</v>
      </c>
      <c r="C57" s="46"/>
      <c r="D57" s="46"/>
      <c r="E57" s="46"/>
      <c r="F57" s="46"/>
      <c r="G57" s="46"/>
      <c r="H57" s="46"/>
      <c r="I57" s="19">
        <v>0.01</v>
      </c>
      <c r="J57" s="23"/>
      <c r="K57" s="23"/>
    </row>
    <row r="58" spans="1:11">
      <c r="A58" s="22">
        <v>2</v>
      </c>
      <c r="B58" s="46" t="s">
        <v>79</v>
      </c>
      <c r="C58" s="46"/>
      <c r="D58" s="46"/>
      <c r="E58" s="46"/>
      <c r="F58" s="46"/>
      <c r="G58" s="46"/>
      <c r="H58" s="46"/>
      <c r="I58" s="19">
        <v>0.05</v>
      </c>
      <c r="J58" s="23"/>
      <c r="K58" s="23"/>
    </row>
    <row r="59" spans="1:11">
      <c r="A59" s="22">
        <v>3</v>
      </c>
      <c r="B59" s="46" t="s">
        <v>80</v>
      </c>
      <c r="C59" s="46"/>
      <c r="D59" s="46"/>
      <c r="E59" s="46"/>
      <c r="F59" s="46"/>
      <c r="G59" s="46"/>
      <c r="H59" s="46"/>
      <c r="I59" s="19">
        <v>0.13</v>
      </c>
      <c r="J59" s="23"/>
      <c r="K59" s="23"/>
    </row>
    <row r="60" spans="1:11">
      <c r="A60" s="22">
        <v>4</v>
      </c>
      <c r="B60" s="46" t="s">
        <v>81</v>
      </c>
      <c r="C60" s="46"/>
      <c r="D60" s="46"/>
      <c r="E60" s="46"/>
      <c r="F60" s="46"/>
      <c r="G60" s="46"/>
      <c r="H60" s="46"/>
      <c r="I60" s="19">
        <v>0.13</v>
      </c>
      <c r="J60" s="23">
        <v>400</v>
      </c>
      <c r="K60" s="23">
        <v>800</v>
      </c>
    </row>
    <row r="61" spans="1:11">
      <c r="A61" s="22">
        <v>5</v>
      </c>
      <c r="B61" s="46" t="s">
        <v>82</v>
      </c>
      <c r="C61" s="46"/>
      <c r="D61" s="46"/>
      <c r="E61" s="46"/>
      <c r="F61" s="46"/>
      <c r="G61" s="46"/>
      <c r="H61" s="46"/>
      <c r="I61" s="19">
        <v>0.17</v>
      </c>
      <c r="J61" s="23"/>
      <c r="K61" s="23"/>
    </row>
    <row r="62" spans="1:11">
      <c r="A62" s="22">
        <v>6</v>
      </c>
      <c r="B62" s="46" t="s">
        <v>83</v>
      </c>
      <c r="C62" s="46"/>
      <c r="D62" s="46"/>
      <c r="E62" s="46"/>
      <c r="F62" s="46"/>
      <c r="G62" s="46"/>
      <c r="H62" s="46"/>
      <c r="I62" s="19">
        <v>0.25</v>
      </c>
      <c r="J62" s="23"/>
      <c r="K62" s="23"/>
    </row>
    <row r="63" spans="1:11">
      <c r="A63" s="22">
        <v>7</v>
      </c>
      <c r="B63" s="46" t="s">
        <v>84</v>
      </c>
      <c r="C63" s="46"/>
      <c r="D63" s="46"/>
      <c r="E63" s="46"/>
      <c r="F63" s="46"/>
      <c r="G63" s="46"/>
      <c r="H63" s="46"/>
      <c r="I63" s="19">
        <v>0.25</v>
      </c>
      <c r="J63" s="23"/>
      <c r="K63" s="23"/>
    </row>
    <row r="64" spans="1:11">
      <c r="A64" s="22">
        <v>8</v>
      </c>
      <c r="B64" s="46" t="s">
        <v>85</v>
      </c>
      <c r="C64" s="46"/>
      <c r="D64" s="46"/>
      <c r="E64" s="46"/>
      <c r="F64" s="46"/>
      <c r="G64" s="46"/>
      <c r="H64" s="46"/>
      <c r="I64" s="19">
        <v>0.43</v>
      </c>
      <c r="J64" s="23"/>
      <c r="K64" s="23"/>
    </row>
    <row r="65" spans="1:11">
      <c r="A65" s="22">
        <v>9</v>
      </c>
      <c r="B65" s="46" t="s">
        <v>86</v>
      </c>
      <c r="C65" s="46"/>
      <c r="D65" s="46"/>
      <c r="E65" s="46"/>
      <c r="F65" s="46"/>
      <c r="G65" s="46"/>
      <c r="H65" s="46"/>
      <c r="I65" s="19">
        <v>0.5</v>
      </c>
      <c r="J65" s="23"/>
      <c r="K65" s="23"/>
    </row>
    <row r="66" spans="1:11">
      <c r="A66" s="22">
        <v>10</v>
      </c>
      <c r="B66" s="46" t="s">
        <v>87</v>
      </c>
      <c r="C66" s="46"/>
      <c r="D66" s="46"/>
      <c r="E66" s="46"/>
      <c r="F66" s="46"/>
      <c r="G66" s="46"/>
      <c r="H66" s="46"/>
      <c r="I66" s="19">
        <v>0.75</v>
      </c>
      <c r="J66" s="23"/>
      <c r="K66" s="23"/>
    </row>
    <row r="67" spans="1:11">
      <c r="A67" s="22">
        <v>11</v>
      </c>
      <c r="B67" s="46" t="s">
        <v>88</v>
      </c>
      <c r="C67" s="46"/>
      <c r="D67" s="46"/>
      <c r="E67" s="46"/>
      <c r="F67" s="46"/>
      <c r="G67" s="46"/>
      <c r="H67" s="46"/>
      <c r="I67" s="19">
        <v>0.75</v>
      </c>
      <c r="J67" s="23"/>
      <c r="K67" s="23"/>
    </row>
    <row r="68" spans="1:11">
      <c r="A68" s="22">
        <v>12</v>
      </c>
      <c r="B68" s="46" t="s">
        <v>89</v>
      </c>
      <c r="C68" s="46"/>
      <c r="D68" s="46"/>
      <c r="E68" s="46"/>
      <c r="F68" s="46"/>
      <c r="G68" s="46"/>
      <c r="H68" s="46"/>
      <c r="I68" s="19">
        <v>0.83</v>
      </c>
      <c r="J68" s="23"/>
      <c r="K68" s="23"/>
    </row>
    <row r="69" spans="1:11">
      <c r="A69" s="22">
        <v>13</v>
      </c>
      <c r="B69" s="46" t="s">
        <v>90</v>
      </c>
      <c r="C69" s="46"/>
      <c r="D69" s="46"/>
      <c r="E69" s="46"/>
      <c r="F69" s="46"/>
      <c r="G69" s="46"/>
      <c r="H69" s="46"/>
      <c r="I69" s="19">
        <v>0.83</v>
      </c>
      <c r="J69" s="23"/>
      <c r="K69" s="23"/>
    </row>
    <row r="70" spans="1:11">
      <c r="A70" s="22">
        <v>14</v>
      </c>
      <c r="B70" s="46" t="s">
        <v>91</v>
      </c>
      <c r="C70" s="46"/>
      <c r="D70" s="46"/>
      <c r="E70" s="46"/>
      <c r="F70" s="46"/>
      <c r="G70" s="46"/>
      <c r="H70" s="46"/>
      <c r="I70" s="19">
        <v>0.88</v>
      </c>
      <c r="J70" s="23"/>
      <c r="K70" s="23"/>
    </row>
    <row r="71" spans="1:11">
      <c r="A71" s="22">
        <v>15</v>
      </c>
      <c r="B71" s="46" t="s">
        <v>92</v>
      </c>
      <c r="C71" s="46"/>
      <c r="D71" s="46"/>
      <c r="E71" s="46"/>
      <c r="F71" s="46"/>
      <c r="G71" s="46"/>
      <c r="H71" s="46"/>
      <c r="I71" s="19">
        <v>0.88</v>
      </c>
      <c r="J71" s="23"/>
      <c r="K71" s="23"/>
    </row>
    <row r="72" spans="1:11">
      <c r="A72" s="22">
        <v>16</v>
      </c>
      <c r="B72" s="46" t="s">
        <v>93</v>
      </c>
      <c r="C72" s="46"/>
      <c r="D72" s="46"/>
      <c r="E72" s="46"/>
      <c r="F72" s="46"/>
      <c r="G72" s="46"/>
      <c r="H72" s="46"/>
      <c r="I72" s="19">
        <v>1</v>
      </c>
      <c r="J72" s="23"/>
      <c r="K72" s="23"/>
    </row>
    <row r="73" spans="1:11" ht="55.5" customHeight="1">
      <c r="A73" s="22">
        <v>17</v>
      </c>
      <c r="B73" s="46" t="s">
        <v>94</v>
      </c>
      <c r="C73" s="46"/>
      <c r="D73" s="46"/>
      <c r="E73" s="46"/>
      <c r="F73" s="46"/>
      <c r="G73" s="46"/>
      <c r="H73" s="46"/>
      <c r="I73" s="19">
        <v>1</v>
      </c>
      <c r="J73" s="23"/>
      <c r="K73" s="23"/>
    </row>
    <row r="74" spans="1:11">
      <c r="A74" s="22">
        <v>18</v>
      </c>
      <c r="B74" s="46" t="s">
        <v>95</v>
      </c>
      <c r="C74" s="46"/>
      <c r="D74" s="46"/>
      <c r="E74" s="46"/>
      <c r="F74" s="46"/>
      <c r="G74" s="46"/>
      <c r="H74" s="46"/>
      <c r="I74" s="19">
        <v>1</v>
      </c>
      <c r="J74" s="23"/>
      <c r="K74" s="23"/>
    </row>
    <row r="75" spans="1:11">
      <c r="A75" s="22">
        <v>19</v>
      </c>
      <c r="B75" s="46" t="s">
        <v>96</v>
      </c>
      <c r="C75" s="46"/>
      <c r="D75" s="46"/>
      <c r="E75" s="46"/>
      <c r="F75" s="46"/>
      <c r="G75" s="46"/>
      <c r="H75" s="46"/>
      <c r="I75" s="19">
        <v>1</v>
      </c>
      <c r="J75" s="23"/>
      <c r="K75" s="23"/>
    </row>
    <row r="76" spans="1:11">
      <c r="A76" s="22">
        <v>20</v>
      </c>
      <c r="B76" s="46" t="s">
        <v>97</v>
      </c>
      <c r="C76" s="46"/>
      <c r="D76" s="46"/>
      <c r="E76" s="46"/>
      <c r="F76" s="46"/>
      <c r="G76" s="46"/>
      <c r="H76" s="46"/>
      <c r="I76" s="19">
        <v>1.25</v>
      </c>
      <c r="J76" s="23"/>
      <c r="K76" s="23"/>
    </row>
    <row r="77" spans="1:11" ht="28.5" customHeight="1">
      <c r="A77" s="22">
        <v>21</v>
      </c>
      <c r="B77" s="46" t="s">
        <v>98</v>
      </c>
      <c r="C77" s="46"/>
      <c r="D77" s="46"/>
      <c r="E77" s="46"/>
      <c r="F77" s="46"/>
      <c r="G77" s="46"/>
      <c r="H77" s="46"/>
      <c r="I77" s="19">
        <v>1.25</v>
      </c>
      <c r="J77" s="23"/>
      <c r="K77" s="23"/>
    </row>
    <row r="78" spans="1:11">
      <c r="A78" s="22">
        <v>22</v>
      </c>
      <c r="B78" s="46" t="s">
        <v>99</v>
      </c>
      <c r="C78" s="46"/>
      <c r="D78" s="46"/>
      <c r="E78" s="46"/>
      <c r="F78" s="46"/>
      <c r="G78" s="46"/>
      <c r="H78" s="46"/>
      <c r="I78" s="19">
        <v>1.25</v>
      </c>
      <c r="J78" s="23"/>
      <c r="K78" s="23"/>
    </row>
    <row r="79" spans="1:11">
      <c r="A79" s="22">
        <v>23</v>
      </c>
      <c r="B79" s="46" t="s">
        <v>100</v>
      </c>
      <c r="C79" s="46"/>
      <c r="D79" s="46"/>
      <c r="E79" s="46"/>
      <c r="F79" s="46"/>
      <c r="G79" s="46"/>
      <c r="H79" s="46"/>
      <c r="I79" s="19">
        <v>1.25</v>
      </c>
      <c r="J79" s="23"/>
      <c r="K79" s="23"/>
    </row>
    <row r="80" spans="1:11">
      <c r="A80" s="22">
        <v>24</v>
      </c>
      <c r="B80" s="46" t="s">
        <v>101</v>
      </c>
      <c r="C80" s="46"/>
      <c r="D80" s="46"/>
      <c r="E80" s="46"/>
      <c r="F80" s="46"/>
      <c r="G80" s="46"/>
      <c r="H80" s="46"/>
      <c r="I80" s="19">
        <v>1</v>
      </c>
      <c r="J80" s="23"/>
      <c r="K80" s="23"/>
    </row>
    <row r="81" spans="1:11">
      <c r="A81" s="22">
        <v>25</v>
      </c>
      <c r="B81" s="46" t="s">
        <v>102</v>
      </c>
      <c r="C81" s="46"/>
      <c r="D81" s="46"/>
      <c r="E81" s="46"/>
      <c r="F81" s="46"/>
      <c r="G81" s="46"/>
      <c r="H81" s="46"/>
      <c r="I81" s="19">
        <v>0.05</v>
      </c>
      <c r="J81" s="23"/>
      <c r="K81" s="23"/>
    </row>
    <row r="82" spans="1:11">
      <c r="A82" s="22">
        <v>26</v>
      </c>
      <c r="B82" s="46" t="s">
        <v>103</v>
      </c>
      <c r="C82" s="46"/>
      <c r="D82" s="46"/>
      <c r="E82" s="46"/>
      <c r="F82" s="46"/>
      <c r="G82" s="46"/>
      <c r="H82" s="46"/>
      <c r="I82" s="19">
        <v>0.5</v>
      </c>
      <c r="J82" s="23"/>
      <c r="K82" s="23"/>
    </row>
  </sheetData>
  <mergeCells count="27">
    <mergeCell ref="B60:H60"/>
    <mergeCell ref="C33:G33"/>
    <mergeCell ref="B57:H57"/>
    <mergeCell ref="B58:H58"/>
    <mergeCell ref="B59:H59"/>
    <mergeCell ref="B72:H72"/>
    <mergeCell ref="B61:H61"/>
    <mergeCell ref="B62:H62"/>
    <mergeCell ref="B63:H63"/>
    <mergeCell ref="B64:H64"/>
    <mergeCell ref="B65:H65"/>
    <mergeCell ref="B66:H66"/>
    <mergeCell ref="B67:H67"/>
    <mergeCell ref="B68:H68"/>
    <mergeCell ref="B69:H69"/>
    <mergeCell ref="B70:H70"/>
    <mergeCell ref="B71:H71"/>
    <mergeCell ref="B79:H79"/>
    <mergeCell ref="B80:H80"/>
    <mergeCell ref="B81:H81"/>
    <mergeCell ref="B82:H82"/>
    <mergeCell ref="B73:H73"/>
    <mergeCell ref="B74:H74"/>
    <mergeCell ref="B75:H75"/>
    <mergeCell ref="B76:H76"/>
    <mergeCell ref="B77:H77"/>
    <mergeCell ref="B78:H78"/>
  </mergeCells>
  <dataValidations count="3">
    <dataValidation type="list" allowBlank="1" showInputMessage="1" showErrorMessage="1" sqref="B25:B33" xr:uid="{0CB48024-E6E1-4C0A-A953-DCEDB0C7C7E3}">
      <formula1>"yes,no"</formula1>
    </dataValidation>
    <dataValidation type="list" allowBlank="1" showInputMessage="1" showErrorMessage="1" sqref="B4 B11 B18" xr:uid="{B1B14BB9-8ED2-4727-8694-1E125554CA58}">
      <formula1>$B$52:$H$52</formula1>
    </dataValidation>
    <dataValidation type="list" allowBlank="1" showInputMessage="1" showErrorMessage="1" sqref="B21" xr:uid="{922A62EF-470C-411F-898F-3BF4ECCBB2C5}">
      <formula1>$A$57:$A$82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53C9-6050-4F83-A39C-4EC160F5A868}">
  <dimension ref="A1:H24"/>
  <sheetViews>
    <sheetView workbookViewId="0">
      <selection activeCell="B6" sqref="B6"/>
    </sheetView>
  </sheetViews>
  <sheetFormatPr defaultRowHeight="15"/>
  <cols>
    <col min="1" max="1" width="70" bestFit="1" customWidth="1"/>
    <col min="2" max="2" width="40" bestFit="1" customWidth="1"/>
    <col min="3" max="3" width="39.5703125" bestFit="1" customWidth="1"/>
    <col min="5" max="5" width="22.28515625" bestFit="1" customWidth="1"/>
    <col min="6" max="6" width="25" bestFit="1" customWidth="1"/>
    <col min="7" max="7" width="26.42578125" bestFit="1" customWidth="1"/>
    <col min="8" max="8" width="29.140625" bestFit="1" customWidth="1"/>
  </cols>
  <sheetData>
    <row r="1" spans="1:8" ht="21">
      <c r="A1" s="9" t="s">
        <v>104</v>
      </c>
    </row>
    <row r="2" spans="1:8" ht="21">
      <c r="A2" s="9"/>
    </row>
    <row r="3" spans="1:8">
      <c r="A3" s="47" t="s">
        <v>105</v>
      </c>
      <c r="B3" s="47"/>
      <c r="C3" s="47"/>
    </row>
    <row r="4" spans="1:8">
      <c r="A4" s="47"/>
      <c r="B4" s="47"/>
      <c r="C4" s="47"/>
    </row>
    <row r="5" spans="1:8">
      <c r="A5" s="32" t="s">
        <v>32</v>
      </c>
      <c r="B5" s="32" t="s">
        <v>106</v>
      </c>
      <c r="C5" s="32"/>
    </row>
    <row r="6" spans="1:8">
      <c r="A6" t="s">
        <v>12</v>
      </c>
      <c r="B6" s="23" t="s">
        <v>18</v>
      </c>
    </row>
    <row r="7" spans="1:8">
      <c r="A7" t="s">
        <v>48</v>
      </c>
      <c r="B7" s="23" t="s">
        <v>27</v>
      </c>
    </row>
    <row r="8" spans="1:8">
      <c r="A8" t="s">
        <v>58</v>
      </c>
      <c r="B8" s="23" t="s">
        <v>18</v>
      </c>
    </row>
    <row r="9" spans="1:8">
      <c r="A9" t="s">
        <v>107</v>
      </c>
      <c r="B9" s="23" t="s">
        <v>27</v>
      </c>
    </row>
    <row r="11" spans="1:8">
      <c r="E11" s="48" t="s">
        <v>33</v>
      </c>
      <c r="F11" s="48"/>
      <c r="G11" s="48"/>
      <c r="H11" s="48"/>
    </row>
    <row r="12" spans="1:8">
      <c r="A12" s="10" t="s">
        <v>32</v>
      </c>
      <c r="B12" s="10" t="s">
        <v>33</v>
      </c>
      <c r="C12" s="10" t="s">
        <v>34</v>
      </c>
      <c r="E12" t="s">
        <v>12</v>
      </c>
      <c r="F12" t="s">
        <v>48</v>
      </c>
      <c r="G12" t="s">
        <v>58</v>
      </c>
      <c r="H12" t="s">
        <v>107</v>
      </c>
    </row>
    <row r="13" spans="1:8">
      <c r="A13" t="s">
        <v>37</v>
      </c>
      <c r="B13" s="6">
        <f>SUMIFS(E13:H13,$E$24:$H$24,"yes")</f>
        <v>8644.1139240506345</v>
      </c>
      <c r="C13" s="6">
        <f>B13*1.15</f>
        <v>9940.7310126582288</v>
      </c>
      <c r="E13" s="6">
        <f>'1.Residential-subdivision'!B21</f>
        <v>3815</v>
      </c>
      <c r="F13" s="6">
        <f>'2.Residential-no subdivision'!B27</f>
        <v>3815</v>
      </c>
      <c r="G13" s="6">
        <f>'3.Non-residential-subdivision'!B18</f>
        <v>3815</v>
      </c>
      <c r="H13" s="6">
        <f>'4.Non-residential-no subdivisio'!B36</f>
        <v>4829.1139240506336</v>
      </c>
    </row>
    <row r="14" spans="1:8">
      <c r="A14" t="s">
        <v>38</v>
      </c>
      <c r="B14" s="6">
        <f t="shared" ref="B14:B21" si="0">SUMIFS(E14:H14,$E$24:$H$24,"yes")</f>
        <v>16100</v>
      </c>
      <c r="C14" s="6">
        <f t="shared" ref="C14:C21" si="1">B14*1.15</f>
        <v>18515</v>
      </c>
      <c r="E14" s="6">
        <f>'1.Residential-subdivision'!B22</f>
        <v>8050</v>
      </c>
      <c r="F14" s="6">
        <f>'2.Residential-no subdivision'!B28</f>
        <v>8050</v>
      </c>
      <c r="G14" s="6">
        <f>'3.Non-residential-subdivision'!B19</f>
        <v>8050</v>
      </c>
      <c r="H14" s="6">
        <f>'4.Non-residential-no subdivisio'!B37</f>
        <v>8050</v>
      </c>
    </row>
    <row r="15" spans="1:8">
      <c r="A15" t="s">
        <v>39</v>
      </c>
      <c r="B15" s="6">
        <f t="shared" si="0"/>
        <v>4300</v>
      </c>
      <c r="C15" s="6">
        <f t="shared" si="1"/>
        <v>4945</v>
      </c>
      <c r="E15" s="6">
        <f>'1.Residential-subdivision'!B23</f>
        <v>4300</v>
      </c>
      <c r="F15" s="6">
        <f>'2.Residential-no subdivision'!B29</f>
        <v>4300</v>
      </c>
      <c r="G15" s="6">
        <f>'3.Non-residential-subdivision'!B20</f>
        <v>4300</v>
      </c>
      <c r="H15" s="6">
        <f>'4.Non-residential-no subdivisio'!B38</f>
        <v>0</v>
      </c>
    </row>
    <row r="16" spans="1:8">
      <c r="A16" t="s">
        <v>40</v>
      </c>
      <c r="B16" s="6">
        <f t="shared" si="0"/>
        <v>5092</v>
      </c>
      <c r="C16" s="6">
        <f t="shared" si="1"/>
        <v>5855.7999999999993</v>
      </c>
      <c r="E16" s="6">
        <f>'1.Residential-subdivision'!B24</f>
        <v>3350</v>
      </c>
      <c r="F16" s="6">
        <f>'2.Residential-no subdivision'!B30</f>
        <v>3350</v>
      </c>
      <c r="G16" s="6">
        <f>'3.Non-residential-subdivision'!B21</f>
        <v>3350</v>
      </c>
      <c r="H16" s="6">
        <f>'4.Non-residential-no subdivisio'!B39</f>
        <v>1742</v>
      </c>
    </row>
    <row r="17" spans="1:8">
      <c r="A17" t="s">
        <v>41</v>
      </c>
      <c r="B17" s="6">
        <f t="shared" si="0"/>
        <v>2030</v>
      </c>
      <c r="C17" s="6">
        <f t="shared" si="1"/>
        <v>2334.5</v>
      </c>
      <c r="E17" s="6">
        <f>'1.Residential-subdivision'!B25</f>
        <v>2030</v>
      </c>
      <c r="F17" s="6">
        <f>'2.Residential-no subdivision'!B31</f>
        <v>2030</v>
      </c>
      <c r="G17" s="6">
        <f>'3.Non-residential-subdivision'!B22</f>
        <v>2030</v>
      </c>
      <c r="H17" s="6">
        <f>'4.Non-residential-no subdivisio'!B40</f>
        <v>0</v>
      </c>
    </row>
    <row r="18" spans="1:8">
      <c r="A18" s="25" t="s">
        <v>42</v>
      </c>
      <c r="B18" s="26">
        <f>SUM(B13:B17)</f>
        <v>36166.113924050631</v>
      </c>
      <c r="C18" s="26">
        <f>SUM(C13:C17)</f>
        <v>41591.031012658234</v>
      </c>
      <c r="E18" s="6">
        <f>'1.Residential-subdivision'!B26</f>
        <v>21545</v>
      </c>
      <c r="F18" s="6">
        <f>'2.Residential-no subdivision'!B32</f>
        <v>21545</v>
      </c>
      <c r="G18" s="6">
        <f>'3.Non-residential-subdivision'!B23</f>
        <v>21545</v>
      </c>
      <c r="H18" s="6">
        <f>'4.Non-residential-no subdivisio'!B41</f>
        <v>14621.113924050635</v>
      </c>
    </row>
    <row r="19" spans="1:8">
      <c r="A19" t="s">
        <v>43</v>
      </c>
      <c r="B19" s="6">
        <f t="shared" si="0"/>
        <v>1550</v>
      </c>
      <c r="C19" s="6">
        <f t="shared" si="1"/>
        <v>1782.4999999999998</v>
      </c>
      <c r="E19" s="6">
        <f>'1.Residential-subdivision'!B27</f>
        <v>1550</v>
      </c>
      <c r="F19" s="6">
        <f>'2.Residential-no subdivision'!B33</f>
        <v>1550</v>
      </c>
      <c r="G19" s="6">
        <f>'3.Non-residential-subdivision'!B24</f>
        <v>1550</v>
      </c>
      <c r="H19" s="6">
        <f>'4.Non-residential-no subdivisio'!B42</f>
        <v>0</v>
      </c>
    </row>
    <row r="20" spans="1:8">
      <c r="A20" t="s">
        <v>44</v>
      </c>
      <c r="B20" s="6">
        <f t="shared" si="0"/>
        <v>15106</v>
      </c>
      <c r="C20" s="6">
        <f t="shared" si="1"/>
        <v>17371.899999999998</v>
      </c>
      <c r="E20" s="6">
        <f>'1.Residential-subdivision'!B28</f>
        <v>15106</v>
      </c>
      <c r="F20" s="6">
        <f>'2.Residential-no subdivision'!B34</f>
        <v>15106</v>
      </c>
      <c r="G20" s="6">
        <f>'3.Non-residential-subdivision'!B25</f>
        <v>0</v>
      </c>
      <c r="H20" s="6">
        <f>'4.Non-residential-no subdivisio'!B43</f>
        <v>0</v>
      </c>
    </row>
    <row r="21" spans="1:8">
      <c r="A21" t="s">
        <v>45</v>
      </c>
      <c r="B21" s="6">
        <f t="shared" si="0"/>
        <v>0</v>
      </c>
      <c r="C21" s="6">
        <f t="shared" si="1"/>
        <v>0</v>
      </c>
      <c r="E21" s="6">
        <f>'1.Residential-subdivision'!B29</f>
        <v>0</v>
      </c>
      <c r="F21" s="6">
        <f>'2.Residential-no subdivision'!B35</f>
        <v>0</v>
      </c>
      <c r="G21" s="6">
        <f>'3.Non-residential-subdivision'!B26</f>
        <v>0</v>
      </c>
      <c r="H21" s="6">
        <f>'4.Non-residential-no subdivisio'!B44</f>
        <v>0</v>
      </c>
    </row>
    <row r="22" spans="1:8">
      <c r="A22" s="25" t="s">
        <v>46</v>
      </c>
      <c r="B22" s="26">
        <f>SUM(B19:B21)</f>
        <v>16656</v>
      </c>
      <c r="C22" s="26">
        <f>SUM(C19:C21)</f>
        <v>19154.399999999998</v>
      </c>
      <c r="E22" s="6">
        <f>'1.Residential-subdivision'!B30</f>
        <v>16656</v>
      </c>
      <c r="F22" s="6">
        <f>'2.Residential-no subdivision'!B36</f>
        <v>16656</v>
      </c>
      <c r="G22" s="6">
        <f>'3.Non-residential-subdivision'!B27</f>
        <v>1550</v>
      </c>
      <c r="H22" s="6">
        <f>'4.Non-residential-no subdivisio'!B45</f>
        <v>0</v>
      </c>
    </row>
    <row r="23" spans="1:8" ht="15.75" thickBot="1">
      <c r="A23" s="27" t="s">
        <v>47</v>
      </c>
      <c r="B23" s="28">
        <f>B22+B18</f>
        <v>52822.113924050631</v>
      </c>
      <c r="C23" s="28">
        <f>C22+C18</f>
        <v>60745.431012658228</v>
      </c>
      <c r="E23" s="6">
        <f>'1.Residential-subdivision'!B31</f>
        <v>38201</v>
      </c>
      <c r="F23" s="6">
        <f>'2.Residential-no subdivision'!B37</f>
        <v>38201</v>
      </c>
      <c r="G23" s="6">
        <f>'3.Non-residential-subdivision'!B28</f>
        <v>23095</v>
      </c>
      <c r="H23" s="6">
        <f>'4.Non-residential-no subdivisio'!B46</f>
        <v>14621.113924050635</v>
      </c>
    </row>
    <row r="24" spans="1:8" ht="15.75" thickTop="1">
      <c r="E24" t="str">
        <f>B6</f>
        <v>no</v>
      </c>
      <c r="F24" t="str">
        <f>B7</f>
        <v>yes</v>
      </c>
      <c r="G24" t="str">
        <f>B8</f>
        <v>no</v>
      </c>
      <c r="H24" t="str">
        <f>B9</f>
        <v>yes</v>
      </c>
    </row>
  </sheetData>
  <mergeCells count="2">
    <mergeCell ref="A3:C4"/>
    <mergeCell ref="E11:H11"/>
  </mergeCells>
  <dataValidations count="1">
    <dataValidation type="list" allowBlank="1" showInputMessage="1" showErrorMessage="1" sqref="B6:B9" xr:uid="{9EA06118-D10F-47D1-BB43-F2709E4491EB}">
      <formula1>"yes,no"</formula1>
    </dataValidation>
  </dataValidations>
  <pageMargins left="0.7" right="0.7" top="0.75" bottom="0.75" header="0.3" footer="0.3"/>
  <ignoredErrors>
    <ignoredError sqref="C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5F643-A049-4372-85BA-1FBF74FD8ABA}">
  <dimension ref="A1:E9"/>
  <sheetViews>
    <sheetView workbookViewId="0"/>
  </sheetViews>
  <sheetFormatPr defaultRowHeight="15"/>
  <cols>
    <col min="1" max="1" width="74.7109375" customWidth="1"/>
  </cols>
  <sheetData>
    <row r="1" spans="1:5">
      <c r="A1" s="3" t="s">
        <v>32</v>
      </c>
      <c r="B1" t="s">
        <v>108</v>
      </c>
      <c r="C1" t="s">
        <v>109</v>
      </c>
      <c r="D1" t="s">
        <v>110</v>
      </c>
      <c r="E1" t="s">
        <v>11</v>
      </c>
    </row>
    <row r="2" spans="1:5">
      <c r="A2" s="4" t="s">
        <v>37</v>
      </c>
      <c r="B2" s="33">
        <v>5900</v>
      </c>
      <c r="C2" s="33">
        <v>6409</v>
      </c>
      <c r="D2" s="33">
        <v>7210</v>
      </c>
      <c r="E2" s="33">
        <v>7630</v>
      </c>
    </row>
    <row r="3" spans="1:5">
      <c r="A3" s="4" t="s">
        <v>38</v>
      </c>
      <c r="B3" s="33">
        <v>6630</v>
      </c>
      <c r="C3" s="33">
        <v>7202</v>
      </c>
      <c r="D3" s="33">
        <v>8102</v>
      </c>
      <c r="E3" s="33">
        <v>8050</v>
      </c>
    </row>
    <row r="4" spans="1:5">
      <c r="A4" s="4" t="s">
        <v>39</v>
      </c>
      <c r="B4" s="33">
        <v>3610</v>
      </c>
      <c r="C4" s="33">
        <v>3921</v>
      </c>
      <c r="D4" s="33">
        <v>4411</v>
      </c>
      <c r="E4" s="33">
        <v>4300</v>
      </c>
    </row>
    <row r="5" spans="1:5">
      <c r="A5" s="4" t="s">
        <v>40</v>
      </c>
      <c r="B5" s="33">
        <v>1720</v>
      </c>
      <c r="C5" s="33">
        <v>1868</v>
      </c>
      <c r="D5" s="33">
        <v>2102</v>
      </c>
      <c r="E5" s="33">
        <v>3350</v>
      </c>
    </row>
    <row r="6" spans="1:5">
      <c r="A6" s="4" t="s">
        <v>41</v>
      </c>
      <c r="B6" s="33">
        <v>2430</v>
      </c>
      <c r="C6" s="33">
        <v>2640</v>
      </c>
      <c r="D6" s="33">
        <v>2970</v>
      </c>
      <c r="E6" s="33">
        <v>2030</v>
      </c>
    </row>
    <row r="7" spans="1:5">
      <c r="A7" s="4" t="s">
        <v>43</v>
      </c>
      <c r="B7">
        <v>790</v>
      </c>
      <c r="C7">
        <v>858</v>
      </c>
      <c r="D7">
        <v>965</v>
      </c>
      <c r="E7" s="33">
        <v>1550</v>
      </c>
    </row>
    <row r="8" spans="1:5">
      <c r="A8" s="4" t="s">
        <v>44</v>
      </c>
      <c r="B8" s="33">
        <v>10725</v>
      </c>
      <c r="C8" s="33">
        <v>11650</v>
      </c>
      <c r="D8" s="33">
        <v>13106</v>
      </c>
      <c r="E8" s="33">
        <v>15106</v>
      </c>
    </row>
    <row r="9" spans="1:5">
      <c r="A9" s="4" t="s">
        <v>45</v>
      </c>
      <c r="B9">
        <v>260</v>
      </c>
      <c r="C9">
        <v>282</v>
      </c>
      <c r="D9">
        <v>317</v>
      </c>
      <c r="E9" s="33">
        <v>280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activity xmlns="4f9c820c-e7e2-444d-97ee-45f2b3485c1d">Development Contributions (DC's)</Subactivity>
    <BusinessValue xmlns="4f9c820c-e7e2-444d-97ee-45f2b3485c1d" xsi:nil="true"/>
    <PRADateDisposal xmlns="4f9c820c-e7e2-444d-97ee-45f2b3485c1d" xsi:nil="true"/>
    <KeyWords xmlns="15ffb055-6eb4-45a1-bc20-bf2ac0d420da" xsi:nil="true"/>
    <zLegacyJSON xmlns="ea9732bc-bdab-4124-94da-00ac1c8a1ca9" xsi:nil="true"/>
    <PRADate3 xmlns="4f9c820c-e7e2-444d-97ee-45f2b3485c1d" xsi:nil="true"/>
    <PRAText5 xmlns="4f9c820c-e7e2-444d-97ee-45f2b3485c1d" xsi:nil="true"/>
    <Level2 xmlns="c91a514c-9034-4fa3-897a-8352025b26ed">NA</Level2>
    <Activity xmlns="4f9c820c-e7e2-444d-97ee-45f2b3485c1d">Strategy and Policies</Activity>
    <zLegacy xmlns="ea9732bc-bdab-4124-94da-00ac1c8a1ca9" xsi:nil="true"/>
    <AggregationStatus xmlns="4f9c820c-e7e2-444d-97ee-45f2b3485c1d">Normal</AggregationStatus>
    <AccessClassification xmlns="ea9732bc-bdab-4124-94da-00ac1c8a1ca9">Internal</AccessClassification>
    <CategoryValue xmlns="4f9c820c-e7e2-444d-97ee-45f2b3485c1d">NA</CategoryValue>
    <PRADate2 xmlns="4f9c820c-e7e2-444d-97ee-45f2b3485c1d" xsi:nil="true"/>
    <Case xmlns="4f9c820c-e7e2-444d-97ee-45f2b3485c1d">NA</Case>
    <PRAText1 xmlns="4f9c820c-e7e2-444d-97ee-45f2b3485c1d" xsi:nil="true"/>
    <PRAText4 xmlns="4f9c820c-e7e2-444d-97ee-45f2b3485c1d" xsi:nil="true"/>
    <Level3 xmlns="c91a514c-9034-4fa3-897a-8352025b26ed" xsi:nil="true"/>
    <Team xmlns="c91a514c-9034-4fa3-897a-8352025b26ed">City Development</Team>
    <SetLabel xmlns="ea9732bc-bdab-4124-94da-00ac1c8a1ca9">RETAIN</SetLabel>
    <zMigrationID xmlns="ea9732bc-bdab-4124-94da-00ac1c8a1ca9" xsi:nil="true"/>
    <CopiedFrom xmlns="ea9732bc-bdab-4124-94da-00ac1c8a1ca9" xsi:nil="true"/>
    <ReadOnly xmlns="699788dc-f443-4c6c-94be-cd37ce638e2d" xsi:nil="true"/>
    <Project xmlns="4f9c820c-e7e2-444d-97ee-45f2b3485c1d">NA</Project>
    <Copied xmlns="ea9732bc-bdab-4124-94da-00ac1c8a1ca9">false</Copied>
    <lcf76f155ced4ddcb4097134ff3c332f xmlns="699788dc-f443-4c6c-94be-cd37ce638e2d">
      <Terms xmlns="http://schemas.microsoft.com/office/infopath/2007/PartnerControls"/>
    </lcf76f155ced4ddcb4097134ff3c332f>
    <FunctionGroup xmlns="4f9c820c-e7e2-444d-97ee-45f2b3485c1d">Policy and Planning</FunctionGroup>
    <Function xmlns="4f9c820c-e7e2-444d-97ee-45f2b3485c1d">City Development</Function>
    <RefNo xmlns="ea9732bc-bdab-4124-94da-00ac1c8a1ca9" xsi:nil="true"/>
    <TaxCatchAll xmlns="68978f38-4743-485d-8028-25390dad1b7f" xsi:nil="true"/>
    <RelatedPeople xmlns="4f9c820c-e7e2-444d-97ee-45f2b3485c1d">
      <UserInfo>
        <DisplayName/>
        <AccountId xsi:nil="true"/>
        <AccountType/>
      </UserInfo>
    </RelatedPeople>
    <AggregationNarrative xmlns="725c79e5-42ce-4aa0-ac78-b6418001f0d2" xsi:nil="true"/>
    <OverrideLabel xmlns="ea9732bc-bdab-4124-94da-00ac1c8a1ca9" xsi:nil="true"/>
    <CopiedTo xmlns="ea9732bc-bdab-4124-94da-00ac1c8a1ca9" xsi:nil="true"/>
    <PPR xmlns="ea9732bc-bdab-4124-94da-00ac1c8a1ca9" xsi:nil="true"/>
    <PRAType xmlns="4f9c820c-e7e2-444d-97ee-45f2b3485c1d">Doc</PRAType>
    <PRADate1 xmlns="4f9c820c-e7e2-444d-97ee-45f2b3485c1d" xsi:nil="true"/>
    <LegacyID xmlns="ea9732bc-bdab-4124-94da-00ac1c8a1ca9" xsi:nil="true"/>
    <DocumentType xmlns="4f9c820c-e7e2-444d-97ee-45f2b3485c1d" xsi:nil="true"/>
    <PRAText3 xmlns="4f9c820c-e7e2-444d-97ee-45f2b3485c1d" xsi:nil="true"/>
    <Year xmlns="c91a514c-9034-4fa3-897a-8352025b26ed">NA</Year>
    <Narrative xmlns="4f9c820c-e7e2-444d-97ee-45f2b3485c1d" xsi:nil="true"/>
    <CategoryName xmlns="4f9c820c-e7e2-444d-97ee-45f2b3485c1d">Development Contributions - 2024 policy review</CategoryName>
    <PRADateTrigger xmlns="4f9c820c-e7e2-444d-97ee-45f2b3485c1d" xsi:nil="true"/>
    <PRAText2 xmlns="4f9c820c-e7e2-444d-97ee-45f2b3485c1d" xsi:nil="true"/>
    <_dlc_DocId xmlns="68978f38-4743-485d-8028-25390dad1b7f">NDOCS-336940202-11408</_dlc_DocId>
    <_dlc_DocIdUrl xmlns="68978f38-4743-485d-8028-25390dad1b7f">
      <Url>https://nelsoncity.sharepoint.com/sites/ecm-citydev/_layouts/15/DocIdRedir.aspx?ID=NDOCS-336940202-11408</Url>
      <Description>NDOCS-336940202-11408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429C0F9B6E7ED9419FF314C0A9311F62" ma:contentTypeVersion="70" ma:contentTypeDescription="Create a new document." ma:contentTypeScope="" ma:versionID="90099dac3f7d946fecae7ddeff71b133">
  <xsd:schema xmlns:xsd="http://www.w3.org/2001/XMLSchema" xmlns:xs="http://www.w3.org/2001/XMLSchema" xmlns:p="http://schemas.microsoft.com/office/2006/metadata/properties" xmlns:ns2="68978f38-4743-485d-8028-25390dad1b7f" xmlns:ns3="4f9c820c-e7e2-444d-97ee-45f2b3485c1d" xmlns:ns4="15ffb055-6eb4-45a1-bc20-bf2ac0d420da" xmlns:ns5="725c79e5-42ce-4aa0-ac78-b6418001f0d2" xmlns:ns6="c91a514c-9034-4fa3-897a-8352025b26ed" xmlns:ns7="ea9732bc-bdab-4124-94da-00ac1c8a1ca9" xmlns:ns8="699788dc-f443-4c6c-94be-cd37ce638e2d" targetNamespace="http://schemas.microsoft.com/office/2006/metadata/properties" ma:root="true" ma:fieldsID="eef98214b4d30a4aa4118e968464d31b" ns2:_="" ns3:_="" ns4:_="" ns5:_="" ns6:_="" ns7:_="" ns8:_="">
    <xsd:import namespace="68978f38-4743-485d-8028-25390dad1b7f"/>
    <xsd:import namespace="4f9c820c-e7e2-444d-97ee-45f2b3485c1d"/>
    <xsd:import namespace="15ffb055-6eb4-45a1-bc20-bf2ac0d420da"/>
    <xsd:import namespace="725c79e5-42ce-4aa0-ac78-b6418001f0d2"/>
    <xsd:import namespace="c91a514c-9034-4fa3-897a-8352025b26ed"/>
    <xsd:import namespace="ea9732bc-bdab-4124-94da-00ac1c8a1ca9"/>
    <xsd:import namespace="699788dc-f443-4c6c-94be-cd37ce638e2d"/>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Team" minOccurs="0"/>
                <xsd:element ref="ns6:Level2" minOccurs="0"/>
                <xsd:element ref="ns6:Level3" minOccurs="0"/>
                <xsd:element ref="ns6:Year" minOccurs="0"/>
                <xsd:element ref="ns7:OverrideLabel" minOccurs="0"/>
                <xsd:element ref="ns7:SetLabel" minOccurs="0"/>
                <xsd:element ref="ns7:zMigrationID" minOccurs="0"/>
                <xsd:element ref="ns7:zLegacy" minOccurs="0"/>
                <xsd:element ref="ns7:zLegacyJSON" minOccurs="0"/>
                <xsd:element ref="ns7:AccessClassification" minOccurs="0"/>
                <xsd:element ref="ns7:LegacyID" minOccurs="0"/>
                <xsd:element ref="ns7:RefNo" minOccurs="0"/>
                <xsd:element ref="ns7:Copied" minOccurs="0"/>
                <xsd:element ref="ns7:CopiedFrom" minOccurs="0"/>
                <xsd:element ref="ns7:CopiedTo" minOccurs="0"/>
                <xsd:element ref="ns7:PPR" minOccurs="0"/>
                <xsd:element ref="ns8:MediaServiceMetadata" minOccurs="0"/>
                <xsd:element ref="ns8:MediaServiceFastMetadata" minOccurs="0"/>
                <xsd:element ref="ns8:MediaServiceAutoKeyPoints" minOccurs="0"/>
                <xsd:element ref="ns8:MediaServiceKeyPoints" minOccurs="0"/>
                <xsd:element ref="ns2:SharedWithUsers" minOccurs="0"/>
                <xsd:element ref="ns2:SharedWithDetails" minOccurs="0"/>
                <xsd:element ref="ns8:MediaServiceDateTaken" minOccurs="0"/>
                <xsd:element ref="ns8:MediaLengthInSeconds" minOccurs="0"/>
                <xsd:element ref="ns8:lcf76f155ced4ddcb4097134ff3c332f" minOccurs="0"/>
                <xsd:element ref="ns2:TaxCatchAll" minOccurs="0"/>
                <xsd:element ref="ns8:MediaServiceGenerationTime" minOccurs="0"/>
                <xsd:element ref="ns8:MediaServiceEventHashCode" minOccurs="0"/>
                <xsd:element ref="ns8:MediaServiceOCR" minOccurs="0"/>
                <xsd:element ref="ns8:MediaServiceLocation" minOccurs="0"/>
                <xsd:element ref="ns8:ReadOnly" minOccurs="0"/>
                <xsd:element ref="ns8:MediaServiceObjectDetectorVersions" minOccurs="0"/>
                <xsd:element ref="ns8: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78f38-4743-485d-8028-25390dad1b7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element name="TaxCatchAll" ma:index="64" nillable="true" ma:displayName="Taxonomy Catch All Column" ma:hidden="true" ma:list="{0b896b3c-12a4-4465-9596-c5416ded3dc1}" ma:internalName="TaxCatchAll" ma:showField="CatchAllData" ma:web="68978f38-4743-485d-8028-25390dad1b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union memberTypes="dms:Text">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union>
      </xsd:simpleType>
    </xsd:element>
    <xsd:element name="Narrative" ma:index="13" nillable="true" ma:displayName="Narrative" ma:internalName="Narrative" ma:readOnly="false">
      <xsd:simpleType>
        <xsd:restriction base="dms:Note">
          <xsd:maxLength value="255"/>
        </xsd:restriction>
      </xsd:simpleType>
    </xsd:element>
    <xsd:element name="Subactivity" ma:index="14" nillable="true" ma:displayName="Subactivity" ma:default="NA" ma:hidden="true" ma:indexed="true" ma:internalName="Subactivity" ma:readOnly="false">
      <xsd:simpleType>
        <xsd:restriction base="dms:Text">
          <xsd:maxLength value="255"/>
        </xsd:restriction>
      </xsd:simpleType>
    </xsd:element>
    <xsd:element name="Case" ma:index="15" nillable="true" ma:displayName="Case" ma:default="NA" ma:hidden="true" ma:indexed="true" ma:internalName="Case" ma:readOnly="false">
      <xsd:simpleType>
        <xsd:restriction base="dms:Text">
          <xsd:maxLength value="255"/>
        </xsd:restriction>
      </xsd:simpleType>
    </xsd:element>
    <xsd:element name="RelatedPeople" ma:index="16"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7" nillable="true" ma:displayName="Category 1" ma:default="NA" ma:hidden="true" ma:internalName="CategoryName" ma:readOnly="false">
      <xsd:simpleType>
        <xsd:restriction base="dms:Text">
          <xsd:maxLength value="255"/>
        </xsd:restriction>
      </xsd:simpleType>
    </xsd:element>
    <xsd:element name="CategoryValue" ma:index="18" nillable="true" ma:displayName="Category 2" ma:default="NA" ma:hidden="true" ma:internalName="CategoryValue" ma:readOnly="false">
      <xsd:simpleType>
        <xsd:restriction base="dms:Text">
          <xsd:maxLength value="255"/>
        </xsd:restriction>
      </xsd:simpleType>
    </xsd:element>
    <xsd:element name="BusinessValue" ma:index="19" nillable="true" ma:displayName="Business Value" ma:hidden="true" ma:internalName="BusinessValue" ma:readOnly="false">
      <xsd:simpleType>
        <xsd:restriction base="dms:Text">
          <xsd:maxLength value="255"/>
        </xsd:restriction>
      </xsd:simpleType>
    </xsd:element>
    <xsd:element name="FunctionGroup" ma:index="20" nillable="true" ma:displayName="Function Group" ma:default="Policy and Planning" ma:hidden="true" ma:internalName="FunctionGroup" ma:readOnly="false">
      <xsd:simpleType>
        <xsd:restriction base="dms:Text">
          <xsd:maxLength value="255"/>
        </xsd:restriction>
      </xsd:simpleType>
    </xsd:element>
    <xsd:element name="Function" ma:index="21" nillable="true" ma:displayName="Function" ma:default="City Development" ma:hidden="true" ma:internalName="Function" ma:readOnly="false">
      <xsd:simpleType>
        <xsd:restriction base="dms:Text">
          <xsd:maxLength value="255"/>
        </xsd:restriction>
      </xsd:simpleType>
    </xsd:element>
    <xsd:element name="PRAType" ma:index="22" nillable="true" ma:displayName="PRA Type" ma:default="Doc" ma:hidden="true" ma:indexed="true" ma:internalName="PRAType" ma:readOnly="false">
      <xsd:simpleType>
        <xsd:restriction base="dms:Text">
          <xsd:maxLength value="255"/>
        </xsd:restriction>
      </xsd:simpleType>
    </xsd:element>
    <xsd:element name="PRADate1" ma:index="23" nillable="true" ma:displayName="PRA Date 1" ma:format="DateOnly" ma:hidden="true" ma:internalName="PRADate1" ma:readOnly="false">
      <xsd:simpleType>
        <xsd:restriction base="dms:DateTime"/>
      </xsd:simpleType>
    </xsd:element>
    <xsd:element name="PRADate2" ma:index="24" nillable="true" ma:displayName="PRA Date 2" ma:format="DateOnly" ma:hidden="true" ma:internalName="PRADate2" ma:readOnly="false">
      <xsd:simpleType>
        <xsd:restriction base="dms:DateTime"/>
      </xsd:simpleType>
    </xsd:element>
    <xsd:element name="PRADate3" ma:index="25" nillable="true" ma:displayName="PRA Date 3" ma:format="DateOnly" ma:hidden="true" ma:internalName="PRADate3" ma:readOnly="false">
      <xsd:simpleType>
        <xsd:restriction base="dms:DateTime"/>
      </xsd:simpleType>
    </xsd:element>
    <xsd:element name="PRADateDisposal" ma:index="26" nillable="true" ma:displayName="PRA Date Disposal" ma:format="DateOnly" ma:hidden="true" ma:internalName="PRADateDisposal" ma:readOnly="false">
      <xsd:simpleType>
        <xsd:restriction base="dms:DateTime"/>
      </xsd:simpleType>
    </xsd:element>
    <xsd:element name="PRADateTrigger" ma:index="27" nillable="true" ma:displayName="PRA Date Trigger" ma:format="DateOnly" ma:hidden="true" ma:internalName="PRADateTrigger" ma:readOnly="false">
      <xsd:simpleType>
        <xsd:restriction base="dms:DateTime"/>
      </xsd:simpleType>
    </xsd:element>
    <xsd:element name="PRAText1" ma:index="28" nillable="true" ma:displayName="PRA Text 1" ma:hidden="true" ma:internalName="PRAText1" ma:readOnly="false">
      <xsd:simpleType>
        <xsd:restriction base="dms:Text">
          <xsd:maxLength value="255"/>
        </xsd:restriction>
      </xsd:simpleType>
    </xsd:element>
    <xsd:element name="PRAText2" ma:index="29" nillable="true" ma:displayName="PRA Text 2" ma:hidden="true" ma:internalName="PRAText2" ma:readOnly="false">
      <xsd:simpleType>
        <xsd:restriction base="dms:Text">
          <xsd:maxLength value="255"/>
        </xsd:restriction>
      </xsd:simpleType>
    </xsd:element>
    <xsd:element name="PRAText3" ma:index="30" nillable="true" ma:displayName="PRA Text 3" ma:hidden="true" ma:internalName="PRAText3" ma:readOnly="false">
      <xsd:simpleType>
        <xsd:restriction base="dms:Text">
          <xsd:maxLength value="255"/>
        </xsd:restriction>
      </xsd:simpleType>
    </xsd:element>
    <xsd:element name="PRAText4" ma:index="31" nillable="true" ma:displayName="PRA Text 4" ma:hidden="true" ma:internalName="PRAText4" ma:readOnly="false">
      <xsd:simpleType>
        <xsd:restriction base="dms:Text">
          <xsd:maxLength value="255"/>
        </xsd:restriction>
      </xsd:simpleType>
    </xsd:element>
    <xsd:element name="PRAText5" ma:index="32" nillable="true" ma:displayName="PRA Text 5" ma:hidden="true" ma:internalName="PRAText5" ma:readOnly="false">
      <xsd:simpleType>
        <xsd:restriction base="dms:Text">
          <xsd:maxLength value="255"/>
        </xsd:restriction>
      </xsd:simpleType>
    </xsd:element>
    <xsd:element name="AggregationStatus" ma:index="33"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4" nillable="true" ma:displayName="Project" ma:default="NA" ma:hidden="true" ma:internalName="Project" ma:readOnly="false">
      <xsd:simpleType>
        <xsd:restriction base="dms:Text">
          <xsd:maxLength value="255"/>
        </xsd:restriction>
      </xsd:simpleType>
    </xsd:element>
    <xsd:element name="Activity" ma:index="35" nillable="true" ma:displayName="Activity" ma:default="NA" ma:hidden="true" ma:internalName="Activi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6"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Team" ma:index="37" nillable="true" ma:displayName="Team" ma:default="City Development" ma:hidden="true" ma:internalName="Team" ma:readOnly="false">
      <xsd:simpleType>
        <xsd:restriction base="dms:Text">
          <xsd:maxLength value="255"/>
        </xsd:restriction>
      </xsd:simpleType>
    </xsd:element>
    <xsd:element name="Level2" ma:index="38" nillable="true" ma:displayName="Level2" ma:default="NA" ma:hidden="true" ma:internalName="Level2" ma:readOnly="false">
      <xsd:simpleType>
        <xsd:restriction base="dms:Text">
          <xsd:maxLength value="255"/>
        </xsd:restriction>
      </xsd:simpleType>
    </xsd:element>
    <xsd:element name="Level3" ma:index="39" nillable="true" ma:displayName="Level3" ma:hidden="true" ma:internalName="Level3" ma:readOnly="false">
      <xsd:simpleType>
        <xsd:restriction base="dms:Text">
          <xsd:maxLength value="255"/>
        </xsd:restriction>
      </xsd:simpleType>
    </xsd:element>
    <xsd:element name="Year" ma:index="40" nillable="true" ma:displayName="Year" ma:default="NA" ma:hidden="true" ma:indexed="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9732bc-bdab-4124-94da-00ac1c8a1ca9" elementFormDefault="qualified">
    <xsd:import namespace="http://schemas.microsoft.com/office/2006/documentManagement/types"/>
    <xsd:import namespace="http://schemas.microsoft.com/office/infopath/2007/PartnerControls"/>
    <xsd:element name="OverrideLabel" ma:index="41" nillable="true" ma:displayName="Override Label" ma:description="Used to override the set label for automation where multiple labels apply in a library" ma:hidden="true" ma:internalName="OverrideLabel" ma:readOnly="false">
      <xsd:simpleType>
        <xsd:restriction base="dms:Text">
          <xsd:maxLength value="255"/>
        </xsd:restriction>
      </xsd:simpleType>
    </xsd:element>
    <xsd:element name="SetLabel" ma:index="42" nillable="true" ma:displayName="Set Label" ma:default="RETAIN" ma:description="Used to set the retention label via automation" ma:hidden="true" ma:internalName="SetLabel" ma:readOnly="false">
      <xsd:simpleType>
        <xsd:restriction base="dms:Text">
          <xsd:maxLength value="255"/>
        </xsd:restriction>
      </xsd:simpleType>
    </xsd:element>
    <xsd:element name="zMigrationID" ma:index="43" nillable="true" ma:displayName="zMigrationID" ma:description="This column will be used to track each file and folder that is migrated.&#10;&#10;This is the Objective document ID plus the file extension (eg A1234576-PDF)." ma:hidden="true" ma:indexed="true" ma:internalName="zMigrationID" ma:readOnly="false">
      <xsd:simpleType>
        <xsd:restriction base="dms:Text">
          <xsd:maxLength value="255"/>
        </xsd:restriction>
      </xsd:simpleType>
    </xsd:element>
    <xsd:element name="zLegacy" ma:index="44" nillable="true" ma:displayName="zLegacy" ma:description="This is the friendly format column of Key Value pairs (Objective Field: Objective Value)." ma:hidden="true" ma:internalName="zLegacy" ma:readOnly="false">
      <xsd:simpleType>
        <xsd:restriction base="dms:Note"/>
      </xsd:simpleType>
    </xsd:element>
    <xsd:element name="zLegacyJSON" ma:index="45" nillable="true" ma:displayName="zLegacyJSON" ma:description="This is the JSON blob field for the Key Value pairs which can be used to set field values in the future if required." ma:hidden="true" ma:internalName="zLegacyJSON" ma:readOnly="false">
      <xsd:simpleType>
        <xsd:restriction base="dms:Note"/>
      </xsd:simpleType>
    </xsd:element>
    <xsd:element name="AccessClassification" ma:index="46" nillable="true" ma:displayName="Access Classification" ma:default="Internal" ma:format="Dropdown" ma:hidden="true" ma:indexed="true" ma:internalName="AccessClassification" ma:readOnly="false">
      <xsd:simpleType>
        <xsd:union memberTypes="dms:Text">
          <xsd:simpleType>
            <xsd:restriction base="dms:Choice">
              <xsd:enumeration value="Internal"/>
              <xsd:enumeration value="Public"/>
              <xsd:enumeration value="Restricted"/>
            </xsd:restriction>
          </xsd:simpleType>
        </xsd:union>
      </xsd:simpleType>
    </xsd:element>
    <xsd:element name="LegacyID" ma:index="47" nillable="true" ma:displayName="LegacyID" ma:hidden="true" ma:indexed="true" ma:internalName="LegacyID" ma:readOnly="false">
      <xsd:simpleType>
        <xsd:restriction base="dms:Text">
          <xsd:maxLength value="255"/>
        </xsd:restriction>
      </xsd:simpleType>
    </xsd:element>
    <xsd:element name="RefNo" ma:index="48" nillable="true" ma:displayName="MagiQ Reference" ma:hidden="true" ma:indexed="true" ma:internalName="RefNo" ma:readOnly="false">
      <xsd:simpleType>
        <xsd:restriction base="dms:Text">
          <xsd:maxLength value="255"/>
        </xsd:restriction>
      </xsd:simpleType>
    </xsd:element>
    <xsd:element name="Copied" ma:index="49" nillable="true" ma:displayName="Copied" ma:default="0" ma:internalName="Copied" ma:readOnly="false">
      <xsd:simpleType>
        <xsd:restriction base="dms:Boolean"/>
      </xsd:simpleType>
    </xsd:element>
    <xsd:element name="CopiedFrom" ma:index="50" nillable="true" ma:displayName="CopiedFrom" ma:hidden="true" ma:internalName="CopiedFrom" ma:readOnly="false">
      <xsd:simpleType>
        <xsd:restriction base="dms:Note"/>
      </xsd:simpleType>
    </xsd:element>
    <xsd:element name="CopiedTo" ma:index="51" nillable="true" ma:displayName="CopiedTo" ma:hidden="true" ma:internalName="CopiedTo" ma:readOnly="false">
      <xsd:simpleType>
        <xsd:restriction base="dms:Note"/>
      </xsd:simpleType>
    </xsd:element>
    <xsd:element name="PPR" ma:index="52" nillable="true" ma:displayName="PPR" ma:hidden="true" ma:indexed="true" ma:internalName="PP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9788dc-f443-4c6c-94be-cd37ce638e2d" elementFormDefault="qualified">
    <xsd:import namespace="http://schemas.microsoft.com/office/2006/documentManagement/types"/>
    <xsd:import namespace="http://schemas.microsoft.com/office/infopath/2007/PartnerControls"/>
    <xsd:element name="MediaServiceMetadata" ma:index="53" nillable="true" ma:displayName="MediaServiceMetadata" ma:hidden="true" ma:internalName="MediaServiceMetadata" ma:readOnly="true">
      <xsd:simpleType>
        <xsd:restriction base="dms:Note"/>
      </xsd:simpleType>
    </xsd:element>
    <xsd:element name="MediaServiceFastMetadata" ma:index="54"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DateTaken" ma:index="60" nillable="true" ma:displayName="MediaServiceDateTaken" ma:hidden="true" ma:internalName="MediaServiceDateTaken" ma:readOnly="true">
      <xsd:simpleType>
        <xsd:restriction base="dms:Text"/>
      </xsd:simpleType>
    </xsd:element>
    <xsd:element name="MediaLengthInSeconds" ma:index="61" nillable="true" ma:displayName="MediaLengthInSeconds" ma:hidden="true" ma:internalName="MediaLengthInSeconds" ma:readOnly="true">
      <xsd:simpleType>
        <xsd:restriction base="dms:Unknown"/>
      </xsd:simpleType>
    </xsd:element>
    <xsd:element name="lcf76f155ced4ddcb4097134ff3c332f" ma:index="63" nillable="true" ma:taxonomy="true" ma:internalName="lcf76f155ced4ddcb4097134ff3c332f" ma:taxonomyFieldName="MediaServiceImageTags" ma:displayName="Image Tags" ma:readOnly="false" ma:fieldId="{5cf76f15-5ced-4ddc-b409-7134ff3c332f}" ma:taxonomyMulti="true" ma:sspId="4a633eb9-49e2-4f27-abc8-94b8c9debc0a" ma:termSetId="09814cd3-568e-fe90-9814-8d621ff8fb84" ma:anchorId="fba54fb3-c3e1-fe81-a776-ca4b69148c4d" ma:open="true" ma:isKeyword="false">
      <xsd:complexType>
        <xsd:sequence>
          <xsd:element ref="pc:Terms" minOccurs="0" maxOccurs="1"/>
        </xsd:sequence>
      </xsd:complexType>
    </xsd:element>
    <xsd:element name="MediaServiceGenerationTime" ma:index="65" nillable="true" ma:displayName="MediaServiceGenerationTime" ma:hidden="true" ma:internalName="MediaServiceGenerationTime" ma:readOnly="true">
      <xsd:simpleType>
        <xsd:restriction base="dms:Text"/>
      </xsd:simpleType>
    </xsd:element>
    <xsd:element name="MediaServiceEventHashCode" ma:index="66" nillable="true" ma:displayName="MediaServiceEventHashCode" ma:hidden="true" ma:internalName="MediaServiceEventHashCode" ma:readOnly="true">
      <xsd:simpleType>
        <xsd:restriction base="dms:Text"/>
      </xsd:simpleType>
    </xsd:element>
    <xsd:element name="MediaServiceOCR" ma:index="67" nillable="true" ma:displayName="Extracted Text" ma:internalName="MediaServiceOCR" ma:readOnly="true">
      <xsd:simpleType>
        <xsd:restriction base="dms:Note">
          <xsd:maxLength value="255"/>
        </xsd:restriction>
      </xsd:simpleType>
    </xsd:element>
    <xsd:element name="MediaServiceLocation" ma:index="68" nillable="true" ma:displayName="Location" ma:indexed="true" ma:internalName="MediaServiceLocation" ma:readOnly="true">
      <xsd:simpleType>
        <xsd:restriction base="dms:Text"/>
      </xsd:simpleType>
    </xsd:element>
    <xsd:element name="ReadOnly" ma:index="69" nillable="true" ma:displayName="Read Only" ma:internalName="ReadOnly">
      <xsd:simpleType>
        <xsd:restriction base="dms:Text"/>
      </xsd:simpleType>
    </xsd:element>
    <xsd:element name="MediaServiceObjectDetectorVersions" ma:index="70" nillable="true" ma:displayName="MediaServiceObjectDetectorVersions" ma:hidden="true" ma:indexed="true" ma:internalName="MediaServiceObjectDetectorVersions" ma:readOnly="true">
      <xsd:simpleType>
        <xsd:restriction base="dms:Text"/>
      </xsd:simpleType>
    </xsd:element>
    <xsd:element name="MediaServiceSearchProperties" ma:index="7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0A1D8B-7E40-445C-8149-FC1DBB7137B8}"/>
</file>

<file path=customXml/itemProps2.xml><?xml version="1.0" encoding="utf-8"?>
<ds:datastoreItem xmlns:ds="http://schemas.openxmlformats.org/officeDocument/2006/customXml" ds:itemID="{69BEA58E-705E-41C1-893A-63E694D476B8}"/>
</file>

<file path=customXml/itemProps3.xml><?xml version="1.0" encoding="utf-8"?>
<ds:datastoreItem xmlns:ds="http://schemas.openxmlformats.org/officeDocument/2006/customXml" ds:itemID="{5DB9A958-E9E4-4713-BA25-EE1A1A8E7B2B}"/>
</file>

<file path=customXml/itemProps4.xml><?xml version="1.0" encoding="utf-8"?>
<ds:datastoreItem xmlns:ds="http://schemas.openxmlformats.org/officeDocument/2006/customXml" ds:itemID="{1DC68FB2-4E47-4F97-8DC2-BA444AAD49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Sparkadmin</dc:creator>
  <cp:keywords/>
  <dc:description/>
  <cp:lastModifiedBy/>
  <cp:revision/>
  <dcterms:created xsi:type="dcterms:W3CDTF">2021-06-17T20:21:18Z</dcterms:created>
  <dcterms:modified xsi:type="dcterms:W3CDTF">2024-06-13T21:11:51Z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0x010100429C0F9B6E7ED9419FF314C0A9311F62</vt:lpwstr>
  </property>
  <property fmtid="{D5CDD505-2E9C-101B-9397-08002B2CF9AE}" pid="3" name="_dlc_DocIdItemGuid">
    <vt:lpwstr>dff6c48a-29d2-4dca-b76a-70cdd43cad5a</vt:lpwstr>
  </property>
  <property fmtid="{D5CDD505-2E9C-101B-9397-08002B2CF9AE}" pid="4" name="MediaServiceImageTags">
    <vt:lpwstr/>
  </property>
</Properties>
</file>